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595" firstSheet="5" activeTab="5"/>
  </bookViews>
  <sheets>
    <sheet name="Arkusz1" sheetId="1" state="hidden" r:id="rId1"/>
    <sheet name="Informacja" sheetId="2" state="hidden" r:id="rId2"/>
    <sheet name=" Prognoza długu" sheetId="3" state="hidden" r:id="rId3"/>
    <sheet name="Dochody wg §" sheetId="4" state="hidden" r:id="rId4"/>
    <sheet name="Wydatki - grupy" sheetId="5" state="hidden" r:id="rId5"/>
    <sheet name="Zał. nr 1 dotacje" sheetId="6" r:id="rId6"/>
    <sheet name="Zał. Nr 2 rach.doch" sheetId="7" r:id="rId7"/>
    <sheet name="Zał. Nr 3 zakł.bud" sheetId="8" r:id="rId8"/>
    <sheet name="Zał. nr 4 GFOŚ " sheetId="9" r:id="rId9"/>
    <sheet name="Zał. nr 5 WPI" sheetId="10" r:id="rId10"/>
    <sheet name="Zał. Nr 6 Projekty" sheetId="11" r:id="rId11"/>
    <sheet name="Wydatki majątkowe (2)" sheetId="12" state="hidden" r:id="rId12"/>
    <sheet name="Wykaz kredytów i pożyczek" sheetId="13" state="hidden" r:id="rId13"/>
    <sheet name=" Prognoza długu wyk. " sheetId="14" state="hidden" r:id="rId14"/>
    <sheet name="Wpólnoty mieszkaniowe" sheetId="15" state="hidden" r:id="rId15"/>
  </sheets>
  <definedNames>
    <definedName name="_xlnm.Print_Area" localSheetId="2">' Prognoza długu'!$A$1:$J$23</definedName>
    <definedName name="_xlnm.Print_Area" localSheetId="13">' Prognoza długu wyk. '!$A$1:$N$31</definedName>
    <definedName name="_xlnm.Print_Area" localSheetId="3">'Dochody wg §'!$A$1:$L$162</definedName>
    <definedName name="_xlnm.Print_Area" localSheetId="11">'Wydatki majątkowe (2)'!$A$1:$E$109</definedName>
    <definedName name="_xlnm.Print_Area" localSheetId="5">'Zał. nr 1 dotacje'!$A$1:$F$27</definedName>
  </definedNames>
  <calcPr fullCalcOnLoad="1" fullPrecision="0"/>
</workbook>
</file>

<file path=xl/sharedStrings.xml><?xml version="1.0" encoding="utf-8"?>
<sst xmlns="http://schemas.openxmlformats.org/spreadsheetml/2006/main" count="1153" uniqueCount="610">
  <si>
    <t>Załącznik Nr 6</t>
  </si>
  <si>
    <t>Załącznik Nr 8</t>
  </si>
  <si>
    <t>Dochody ogółem budżetu</t>
  </si>
  <si>
    <t>Dochody bieżące</t>
  </si>
  <si>
    <t>Dochody ze sprzedaży majatku</t>
  </si>
  <si>
    <t>Wydatki ogółem budżetu</t>
  </si>
  <si>
    <t>Wydatki bieżace</t>
  </si>
  <si>
    <t>Planowane spłaty rat kredytów i pożyczek</t>
  </si>
  <si>
    <t>Planowane odsetki od kredytów i pożyczek</t>
  </si>
  <si>
    <t>Deficyt / Nadwyżka</t>
  </si>
  <si>
    <t>Planowany dług na dzień 31.12.2009</t>
  </si>
  <si>
    <t xml:space="preserve">Wykaz zobowiązań finansowych gminy z tytułu pożyczek i kredytów </t>
  </si>
  <si>
    <t xml:space="preserve">Nazwa </t>
  </si>
  <si>
    <t>Spłaty w roku budżetowym</t>
  </si>
  <si>
    <t>WFOŚ</t>
  </si>
  <si>
    <t>raty</t>
  </si>
  <si>
    <t>12/2006/OZ/K/P</t>
  </si>
  <si>
    <t>odsetki</t>
  </si>
  <si>
    <t>84/2007/OW/K/P</t>
  </si>
  <si>
    <t>WFOŚ   2008</t>
  </si>
  <si>
    <t>17/2008/OA/K/P</t>
  </si>
  <si>
    <t>WFOŚ   2009</t>
  </si>
  <si>
    <t>8/2009/OW/K/P</t>
  </si>
  <si>
    <t>NFOŚ</t>
  </si>
  <si>
    <t>211/2006/W-u9/OZ</t>
  </si>
  <si>
    <t>BGK (EBI)</t>
  </si>
  <si>
    <t>06/1246/5203305/06</t>
  </si>
  <si>
    <t>BBS                  3/B/K/2009</t>
  </si>
  <si>
    <t>Planowany 2009</t>
  </si>
  <si>
    <t>Planowany 2010</t>
  </si>
  <si>
    <t>Planowany EBI</t>
  </si>
  <si>
    <t>Łącznie spłaty w roku budżetowym</t>
  </si>
  <si>
    <t>Stan na                           01-01-2010</t>
  </si>
  <si>
    <t xml:space="preserve">Zobowiązania wg tytułów dłużnych: </t>
  </si>
  <si>
    <t>Planowane zobow.z tyt.poż.i kredytów</t>
  </si>
  <si>
    <t>Planowane spłaty</t>
  </si>
  <si>
    <t>4.1</t>
  </si>
  <si>
    <t>4.2</t>
  </si>
  <si>
    <t>Zobowiązania wg tyt.dłużnych na koniec roku</t>
  </si>
  <si>
    <t>5.1</t>
  </si>
  <si>
    <t>5.2</t>
  </si>
  <si>
    <t>7.1</t>
  </si>
  <si>
    <t>7.2</t>
  </si>
  <si>
    <t>Zaciągnięte zobow.z tyt.poż.i kredytów na pocz.roku</t>
  </si>
  <si>
    <t>Lp.</t>
  </si>
  <si>
    <t>Dział</t>
  </si>
  <si>
    <t>Nazwa</t>
  </si>
  <si>
    <t>Leśnictwo</t>
  </si>
  <si>
    <t>Transport i łączność</t>
  </si>
  <si>
    <t>Turystyka</t>
  </si>
  <si>
    <t>Gospodarka mieszkaniowa</t>
  </si>
  <si>
    <t>Administracja publiczna</t>
  </si>
  <si>
    <t>Różne rozliczenia</t>
  </si>
  <si>
    <t>Oświata i wychowanie</t>
  </si>
  <si>
    <t>Gospodarka komunalna i ochrona środowiska</t>
  </si>
  <si>
    <t>Kultura i ochrona dziedzictwa narodowego</t>
  </si>
  <si>
    <t>Razem</t>
  </si>
  <si>
    <t>Podatek leśny</t>
  </si>
  <si>
    <t>Podatek od czynności cywilnoprawnych</t>
  </si>
  <si>
    <t>Dotacje na zadania własne</t>
  </si>
  <si>
    <t>Subwencja oświatowa</t>
  </si>
  <si>
    <t>Dz Roz.</t>
  </si>
  <si>
    <t>Rolnictwo i łowiectwo</t>
  </si>
  <si>
    <t>Wydatki bieżące</t>
  </si>
  <si>
    <t>Izby rolnicze</t>
  </si>
  <si>
    <t>Gospodarka leśna</t>
  </si>
  <si>
    <t>Pozostała działalność</t>
  </si>
  <si>
    <t>Handel</t>
  </si>
  <si>
    <t>Drogi publiczne gminne</t>
  </si>
  <si>
    <t>Ośrodki informacji turystycznej</t>
  </si>
  <si>
    <t>Gospodarka gruntami i nieruchomościami</t>
  </si>
  <si>
    <t>Działalność usługowa</t>
  </si>
  <si>
    <t>Cmentarze</t>
  </si>
  <si>
    <t>Urzędy wojewódzkie</t>
  </si>
  <si>
    <t>Rady gmin</t>
  </si>
  <si>
    <t>Urzędy gmin</t>
  </si>
  <si>
    <t>Pobór podatków, opłat i niepodatkowych należ.budż</t>
  </si>
  <si>
    <t>Bezpieczeństwo publiczne i ochrona przeciwpożar.</t>
  </si>
  <si>
    <t>Ochotnicze straże pożarne</t>
  </si>
  <si>
    <t>Obsługa długu publicznego</t>
  </si>
  <si>
    <t>Rezerwy ogólne i celowe</t>
  </si>
  <si>
    <t>Szkoły podstawowe</t>
  </si>
  <si>
    <t>Gimnazja</t>
  </si>
  <si>
    <t>Dowożenie uczniów do szkół</t>
  </si>
  <si>
    <t>0chrona zdrowia</t>
  </si>
  <si>
    <t>Przeciwdziałanie alkoholizmowi</t>
  </si>
  <si>
    <t>Ośrodki wsparcia</t>
  </si>
  <si>
    <t>Składki na ubezpieczenia zdrowotne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</si>
  <si>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</si>
  <si>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</si>
  <si>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</si>
  <si>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</si>
  <si>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</si>
  <si>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Gospodarka ściekowa i ochrona wód</t>
  </si>
  <si>
    <t>Wydatki majątkowe</t>
  </si>
  <si>
    <t>Oczyszczanie miast i wsi</t>
  </si>
  <si>
    <t>Utrzymanie zieleni w miastach i gminach</t>
  </si>
  <si>
    <t>Oświetlenie uliczne</t>
  </si>
  <si>
    <t>Domy i ośrodki kultury, świetlice i kluby</t>
  </si>
  <si>
    <t>Biblioteki</t>
  </si>
  <si>
    <t>Kultura fizyczna i sport</t>
  </si>
  <si>
    <t>Zasiłki i pomoc w naturze oraz składki na ubez.społ.</t>
  </si>
  <si>
    <t>010</t>
  </si>
  <si>
    <t>01030</t>
  </si>
  <si>
    <t>020</t>
  </si>
  <si>
    <t>02001</t>
  </si>
  <si>
    <t>Pozostała działalność (m.in. MKP)</t>
  </si>
  <si>
    <t>Wytwarzanie i zaopatryw w energię elekt, gaz, wodę</t>
  </si>
  <si>
    <t>Obsługa pap.wart., kredytów i pożyczek jst</t>
  </si>
  <si>
    <t>Dokształcanie i doskonalenie nauczycieli</t>
  </si>
  <si>
    <t>Wyszczególnienie</t>
  </si>
  <si>
    <t>Urzędy Wojewódzkie</t>
  </si>
  <si>
    <t>Ośrodki pomocy społecznej</t>
  </si>
  <si>
    <t>Plan 2004</t>
  </si>
  <si>
    <t>Obrona cywilna</t>
  </si>
  <si>
    <t>Pomoc społeczna</t>
  </si>
  <si>
    <t>Dostarczanie wody</t>
  </si>
  <si>
    <t>Bezpieczeństwo publiczne i ochrona przeciwpoż</t>
  </si>
  <si>
    <t>Rozdz.</t>
  </si>
  <si>
    <t>Kwota</t>
  </si>
  <si>
    <t>Wydatki</t>
  </si>
  <si>
    <t xml:space="preserve">Przychody </t>
  </si>
  <si>
    <t>Nazwa zakładu</t>
  </si>
  <si>
    <t>1.</t>
  </si>
  <si>
    <t>2.</t>
  </si>
  <si>
    <t>Przedszkole nr 1</t>
  </si>
  <si>
    <t>3.</t>
  </si>
  <si>
    <t>Przedszkole nr 2</t>
  </si>
  <si>
    <t>4.</t>
  </si>
  <si>
    <t>Przychody</t>
  </si>
  <si>
    <t>5.</t>
  </si>
  <si>
    <t>6.</t>
  </si>
  <si>
    <t>7.</t>
  </si>
  <si>
    <t>8.</t>
  </si>
  <si>
    <t>9.</t>
  </si>
  <si>
    <t>10.</t>
  </si>
  <si>
    <t>11.</t>
  </si>
  <si>
    <t>Zadania w zak kultury fizycznej i sportu</t>
  </si>
  <si>
    <t>wydatki bieżące</t>
  </si>
  <si>
    <t xml:space="preserve">wpływy z usług </t>
  </si>
  <si>
    <t>Przebudowa chodników w mieście</t>
  </si>
  <si>
    <t>Droga Ropienka</t>
  </si>
  <si>
    <t>Cmentarz Brzegi Dolne</t>
  </si>
  <si>
    <t>Załącznik Nr 1</t>
  </si>
  <si>
    <t>Załącznik Nr 2</t>
  </si>
  <si>
    <t>Załącznik Nr 3</t>
  </si>
  <si>
    <t>Różne jednostki obsługi gospodarki mieszkaniowej</t>
  </si>
  <si>
    <t>Załącznik Nr 4</t>
  </si>
  <si>
    <t>Dochody</t>
  </si>
  <si>
    <t>Subwencja wyrównawcza:</t>
  </si>
  <si>
    <t>Plany zagospodarowania przestrzennego</t>
  </si>
  <si>
    <t xml:space="preserve">                                                                                                                Załącznik nr 1 </t>
  </si>
  <si>
    <t>§</t>
  </si>
  <si>
    <t>0970</t>
  </si>
  <si>
    <t>Wpływy z różnych dochodów</t>
  </si>
  <si>
    <t>Wpływy ze sprzedaży wyr. i skład. majątkowych</t>
  </si>
  <si>
    <t>0830</t>
  </si>
  <si>
    <t>Wpływy z usług</t>
  </si>
  <si>
    <t>0470</t>
  </si>
  <si>
    <t>Wpływy z opłat za użytkowanie wieczyste</t>
  </si>
  <si>
    <t>0750</t>
  </si>
  <si>
    <t>0770</t>
  </si>
  <si>
    <t>6290</t>
  </si>
  <si>
    <t>2010</t>
  </si>
  <si>
    <t xml:space="preserve">Urzędy gmin </t>
  </si>
  <si>
    <t>Wpływy z podatku dochodowego od os. fizycznych</t>
  </si>
  <si>
    <t>0350</t>
  </si>
  <si>
    <t>0310</t>
  </si>
  <si>
    <t>Podatek od nieruchomości</t>
  </si>
  <si>
    <t>0320</t>
  </si>
  <si>
    <t>Podatek rolny</t>
  </si>
  <si>
    <t>0330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</si>
  <si>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</si>
  <si>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</si>
  <si>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</si>
  <si>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</si>
  <si>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</si>
  <si>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</si>
  <si>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</si>
  <si>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</si>
  <si>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0500</t>
  </si>
  <si>
    <t>0910</t>
  </si>
  <si>
    <t>Odsetki od nieterminowych wpłat z tyt. pod i opłat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</si>
  <si>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</si>
  <si>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</si>
  <si>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</si>
  <si>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</si>
  <si>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</si>
  <si>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alkoh.</t>
  </si>
  <si>
    <t>0010</t>
  </si>
  <si>
    <t>Podatek dochodowy od osób fizycznych</t>
  </si>
  <si>
    <t>0020</t>
  </si>
  <si>
    <t>Podatek dochodowy od osób prawnych</t>
  </si>
  <si>
    <t>Część oświatowa  subwencji  ogól. dla jst.</t>
  </si>
  <si>
    <t>2920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</si>
  <si>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</si>
  <si>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</si>
  <si>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</si>
  <si>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</si>
  <si>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</si>
  <si>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 xml:space="preserve">Pozostała działalność </t>
  </si>
  <si>
    <t>Zasiłki i pom. w nat. oraz skł. na ubezp. społeczne</t>
  </si>
  <si>
    <t>Usługi opiekuńcze i specjalistyczne</t>
  </si>
  <si>
    <t>Gospodarka odpadami</t>
  </si>
  <si>
    <t>0400</t>
  </si>
  <si>
    <t>Wpływy z opłaty produktowej</t>
  </si>
  <si>
    <t>2310</t>
  </si>
  <si>
    <t xml:space="preserve">Świadczenia rodzinne oraz składki na ubezpieczenia </t>
  </si>
  <si>
    <t>2030</t>
  </si>
  <si>
    <t>Plan 2005</t>
  </si>
  <si>
    <t>Świadczenia rodzinne oraz składki na ubezpieczenia</t>
  </si>
  <si>
    <t>Wodociąg w  m-ci Stańkowa - projekt</t>
  </si>
  <si>
    <t>Zakupy inwestycyjne</t>
  </si>
  <si>
    <t>Remont budynku UM</t>
  </si>
  <si>
    <t>Wpływy z opłaty miejscowej</t>
  </si>
  <si>
    <t>0440</t>
  </si>
  <si>
    <t>Plan 2006</t>
  </si>
  <si>
    <t>pozostałe</t>
  </si>
  <si>
    <t>zadania zlecone</t>
  </si>
  <si>
    <t>zadania własne</t>
  </si>
  <si>
    <t>Subwencja równoważąca</t>
  </si>
  <si>
    <t>0870</t>
  </si>
  <si>
    <t>Chodnik w m-ci Ustjanowa</t>
  </si>
  <si>
    <t>Droga Łobozew</t>
  </si>
  <si>
    <t xml:space="preserve">Przedszkola </t>
  </si>
  <si>
    <t>subwencje</t>
  </si>
  <si>
    <t>6292</t>
  </si>
  <si>
    <t>Środki na dofin.własnych inwest.gm.pozyskane z in.źr.</t>
  </si>
  <si>
    <t>Dotacje cel. z bud.pań. na r. zad.bież. z zak.adm.rz.</t>
  </si>
  <si>
    <t xml:space="preserve">Urzędy naczel.org wł pań, kontroli i ochr.prawa </t>
  </si>
  <si>
    <t>Dochody od osób pr.od osób fiz. i in.jedn. oraz wydatki</t>
  </si>
  <si>
    <t>Podatek od działal.gosp.os.fiz.opł. w formie karty pod</t>
  </si>
  <si>
    <t xml:space="preserve">Wpływy z pod.rol.leś.cc.spad. i dar.oraz pod i opł.lok. </t>
  </si>
  <si>
    <t xml:space="preserve">Wpływy z pod. rol.leś.cc.spad. i dar.oraz pod i opł.lok. </t>
  </si>
  <si>
    <t>Wpływy z innych opłat stanow.dochody jst n.p. ustaw</t>
  </si>
  <si>
    <t>Dotacje cel.otrzym z gmin na zad.bież.real. np.porozumień</t>
  </si>
  <si>
    <t>6260</t>
  </si>
  <si>
    <t>Dotacje z funduszy celowych na real.inwest</t>
  </si>
  <si>
    <t>Część równoważąca subwencji ogólnej dla gmin</t>
  </si>
  <si>
    <t>Domy pomocy społecznej</t>
  </si>
  <si>
    <t>Oddziały przedszkolne w szkołach podstawowych</t>
  </si>
  <si>
    <r>
      <t>Udziały gmin w podat. stan. doch. bud. pań</t>
    </r>
    <r>
      <rPr>
        <sz val="10"/>
        <rFont val="Arial Narrow"/>
        <family val="2"/>
      </rPr>
      <t>.</t>
    </r>
  </si>
  <si>
    <r>
      <t xml:space="preserve"> </t>
    </r>
    <r>
      <rPr>
        <u val="single"/>
        <sz val="10"/>
        <rFont val="Arial Narrow"/>
        <family val="2"/>
      </rPr>
      <t>Ośrodki wsparcia</t>
    </r>
  </si>
  <si>
    <t>Urzędy naczel.organów władzy pań., kontroli i ochrony pr. oraz sąd.</t>
  </si>
  <si>
    <t>wpływy z usług  (opłata, żywność)</t>
  </si>
  <si>
    <t xml:space="preserve"> wydatki bieżące-</t>
  </si>
  <si>
    <t xml:space="preserve"> w tym wynagrodzenia i pochodne-</t>
  </si>
  <si>
    <t xml:space="preserve">pozostałe wydatki  - </t>
  </si>
  <si>
    <t xml:space="preserve"> wydatki bieżące - </t>
  </si>
  <si>
    <t xml:space="preserve">w tym wynagrodzenia i pochodne - </t>
  </si>
  <si>
    <t xml:space="preserve">pozostałe wydatki – </t>
  </si>
  <si>
    <t>w tym wynagrodzenia i pochodne -</t>
  </si>
  <si>
    <t>pozostałe wydatki  -</t>
  </si>
  <si>
    <t>Rachunek dochodów własnych przy ZSP 2</t>
  </si>
  <si>
    <t>Rachunek dochodów własnych przy SP Ustjanowa</t>
  </si>
  <si>
    <t>Rachunek dochodów własnych przy SP Krościenko</t>
  </si>
  <si>
    <t>Rachunek dochodów własnych przy SP Wojtkowa</t>
  </si>
  <si>
    <t>Rachunek dochodów własnych przy SP Hoszów</t>
  </si>
  <si>
    <t>Rachunek dochodów własnych przy SP Łodyna</t>
  </si>
  <si>
    <t>Rachunek dochodów własnych przy SP Równia</t>
  </si>
  <si>
    <t>Rachunek dochodów własnych przy SP Łobozew</t>
  </si>
  <si>
    <t>Rachunek dochodów własnych przy ZSP Ropienka</t>
  </si>
  <si>
    <t>Rachunek dochodów własnych przy ZSP 1</t>
  </si>
  <si>
    <t>Zadania w zakresie kultury fizycznej i sportu</t>
  </si>
  <si>
    <t>Dochody z najmu i dzierżawy składników  majątkowych.</t>
  </si>
  <si>
    <t>Urzędy nacz. organ. władzy pań.kontroli i ochrony pr</t>
  </si>
  <si>
    <t>Wpływy ze sprzedaży wyr. i skł. majątkowych.</t>
  </si>
  <si>
    <t>Rozwiązanie gospodarki odpadami komunalnymi</t>
  </si>
  <si>
    <t>Przedszkole Nr 1 - projekt dachu</t>
  </si>
  <si>
    <t>Redukcja emisji zanieczyszczeń powietrza - termo modernizacja budynków użyteczności publicznej w gminie Ustrzyki D</t>
  </si>
  <si>
    <t>20%</t>
  </si>
  <si>
    <t>Plan 2007</t>
  </si>
  <si>
    <t>Subwencje, w tym:</t>
  </si>
  <si>
    <t>2360</t>
  </si>
  <si>
    <t>Pomoc materialna dla uczniów</t>
  </si>
  <si>
    <t>Drogi publiczne wojewódzkie</t>
  </si>
  <si>
    <t>Droga Nowosielce</t>
  </si>
  <si>
    <t>Droga Brelików</t>
  </si>
  <si>
    <t>Oświetlenie Stańkowa</t>
  </si>
  <si>
    <t>Oświetlenie Jureczkowa</t>
  </si>
  <si>
    <t>Oświetlenie Równia</t>
  </si>
  <si>
    <t>Oświetlenie Brelików Leszczowate</t>
  </si>
  <si>
    <t xml:space="preserve">Plan przychodów i wydatków zakładów budżetowych </t>
  </si>
  <si>
    <t>Rachunek dochodów własnych przy G Wojtkówka</t>
  </si>
  <si>
    <t>Pozostałe zadania w zakresie polityki społecznej</t>
  </si>
  <si>
    <t>Dochody od osób pr,osób fiz i od inn.jedn.niepos.osob.pr oraz wydatki związane z ich poborem</t>
  </si>
  <si>
    <t>I.</t>
  </si>
  <si>
    <t>Stan środków obrotowych na początek roku</t>
  </si>
  <si>
    <t>II.</t>
  </si>
  <si>
    <t>III.</t>
  </si>
  <si>
    <t>IV.</t>
  </si>
  <si>
    <t>Stan środków obrotowych na koniec roku</t>
  </si>
  <si>
    <t>Wpływy z różnych opłat</t>
  </si>
  <si>
    <t>Plan przychodów i wydatków Gminnego Funduszu</t>
  </si>
  <si>
    <t>Ochrony Środowiska i Gospodarki Wodnej</t>
  </si>
  <si>
    <t>1.1</t>
  </si>
  <si>
    <t>1.2</t>
  </si>
  <si>
    <t>2.1</t>
  </si>
  <si>
    <t>2.2</t>
  </si>
  <si>
    <t>Relacje do dochodów (w %):</t>
  </si>
  <si>
    <t xml:space="preserve">Projekt adaptacji budynku SPZOZ na Przedszkole </t>
  </si>
  <si>
    <t>Przeciwdziałanie narkomanii</t>
  </si>
  <si>
    <t>PGM</t>
  </si>
  <si>
    <t>Wydatki na programy i projekty realizowane ze środków pochodzących z funduszy strukturalnych i Funduszu Spójności</t>
  </si>
  <si>
    <t>Deficyt</t>
  </si>
  <si>
    <t>Rozchody</t>
  </si>
  <si>
    <t xml:space="preserve">Poprawa funkcjonalności infrastrukturalnej inicjatyw gospodarczo - społecznych poprzez przebudowę płyty Rynku w Ustrzykach Dolnych. </t>
  </si>
  <si>
    <t>Remont budynku ul. Naftowa</t>
  </si>
  <si>
    <t>Hala sportowa - projekt</t>
  </si>
  <si>
    <t>Chodnik w m.-ci Krościenko projekt</t>
  </si>
  <si>
    <t xml:space="preserve">długu </t>
  </si>
  <si>
    <t xml:space="preserve">spłaty zadłużenia </t>
  </si>
  <si>
    <t>ZSP Nr 1 - projekt dachu</t>
  </si>
  <si>
    <t>Wydatki majątkowe - dotacja celowa</t>
  </si>
  <si>
    <t xml:space="preserve">Kolektor sanitarny ul. 29 Listopada, ul. Bieszczadzka </t>
  </si>
  <si>
    <t xml:space="preserve">dotacja przedmiotowa               </t>
  </si>
  <si>
    <t>dotacja podmiotowa z budżetu</t>
  </si>
  <si>
    <t>Wykup działki w m.-ci Stańkowa</t>
  </si>
  <si>
    <t>Remont budynków ul. Rynek</t>
  </si>
  <si>
    <t>Remont chodnika w ciągu drogi wojewódzkiej</t>
  </si>
  <si>
    <t>Chodnik w m.-ci Brzegi Dolne (cmentarz) projekt</t>
  </si>
  <si>
    <t>%</t>
  </si>
  <si>
    <t>Poprawa funkcjonalności komunikacyjnej na terenach rekreacyjno - inwestycyjnych w Ustrzykach Dolnych - Etap II</t>
  </si>
  <si>
    <t xml:space="preserve">                        Wydatki budżetu gminy                                                 </t>
  </si>
  <si>
    <t>Plan 2008</t>
  </si>
  <si>
    <t>0490</t>
  </si>
  <si>
    <t>Wpływy z inn.lok.opłat pobieranych przez jst np. ustaw</t>
  </si>
  <si>
    <t>2320</t>
  </si>
  <si>
    <t>Dotacje cel.otrzym z powiatu na zad.bież.real. np.porozumień</t>
  </si>
  <si>
    <t>I</t>
  </si>
  <si>
    <t>Dochody ze sprzedaży majątku</t>
  </si>
  <si>
    <t>II</t>
  </si>
  <si>
    <t>Droga Równia</t>
  </si>
  <si>
    <t>Droga Bandrów</t>
  </si>
  <si>
    <t>Wynagrodzenia</t>
  </si>
  <si>
    <t>Rezerwa</t>
  </si>
  <si>
    <t>Fundusze norweskie</t>
  </si>
  <si>
    <t>2680</t>
  </si>
  <si>
    <t>Spłaty</t>
  </si>
  <si>
    <t>Deficyt+spłaty</t>
  </si>
  <si>
    <t>Obsługa długu</t>
  </si>
  <si>
    <t>Wydatki + rozchody</t>
  </si>
  <si>
    <t>Plac Chopina 1</t>
  </si>
  <si>
    <t>Plac Chopina 2</t>
  </si>
  <si>
    <t>Plac Chopina 3</t>
  </si>
  <si>
    <t>Plac Chopina 4</t>
  </si>
  <si>
    <t>Plac Chopina 5</t>
  </si>
  <si>
    <t>Plac Chopina 6</t>
  </si>
  <si>
    <t>Plac Chopina 7</t>
  </si>
  <si>
    <t>Pionierska 6</t>
  </si>
  <si>
    <t>Korczaka 4</t>
  </si>
  <si>
    <t>Korczaka 5</t>
  </si>
  <si>
    <t>Korczaka 7</t>
  </si>
  <si>
    <t>Gombrowicza 39</t>
  </si>
  <si>
    <t>Dwernickiego 4</t>
  </si>
  <si>
    <t>29-go Listopada 3</t>
  </si>
  <si>
    <t>1-go Maja 41</t>
  </si>
  <si>
    <t>1-go Maja 16</t>
  </si>
  <si>
    <t>1-go Maja 18</t>
  </si>
  <si>
    <t>Gombrowicza 40</t>
  </si>
  <si>
    <t>Dworcowa 6</t>
  </si>
  <si>
    <t>Fabryczna 29</t>
  </si>
  <si>
    <t>Brzegi Dolne 43</t>
  </si>
  <si>
    <t>Trzcianiec 1</t>
  </si>
  <si>
    <t>Trzcianiec 2</t>
  </si>
  <si>
    <t xml:space="preserve">Powierzchnia </t>
  </si>
  <si>
    <t xml:space="preserve">Zaliczka </t>
  </si>
  <si>
    <t>za m2</t>
  </si>
  <si>
    <t xml:space="preserve">Kwota </t>
  </si>
  <si>
    <t>miesięczna</t>
  </si>
  <si>
    <t>Udział Gminy</t>
  </si>
  <si>
    <t>Udział wspólnoty</t>
  </si>
  <si>
    <t>kwota</t>
  </si>
  <si>
    <t>% w powierzchni</t>
  </si>
  <si>
    <t>ogólna budynku</t>
  </si>
  <si>
    <t>budynku Gminy</t>
  </si>
  <si>
    <t>Wspieranie systemu edukacji w gminie Ustrzyki D. poprzez adaptację budynku użyteczności publicznej na cele przedszkolne. Przebudowa, nadbudowa i rozbudowa budynku byłego ZOZ na Przedszkole</t>
  </si>
  <si>
    <t>Wodociąg w  m-ci Ropienka (cel - dostarczanie wody)</t>
  </si>
  <si>
    <t>cel- pozostałe dziedziny (badanie gleby)</t>
  </si>
  <si>
    <t>Wydatki inwestycyjne</t>
  </si>
  <si>
    <t>Chodnik ul. 1 Maja (przystanek)</t>
  </si>
  <si>
    <t>Plan 2009</t>
  </si>
  <si>
    <t>SP Ropienka - projekt UDA-POKL.09.01.01-18-244</t>
  </si>
  <si>
    <t>2440</t>
  </si>
  <si>
    <t>Dotacje z funduszy celowych na zadania własne</t>
  </si>
  <si>
    <t>Droga Ustjanowa</t>
  </si>
  <si>
    <t>Podkarpacki System e-Administracji Publicznej</t>
  </si>
  <si>
    <t xml:space="preserve">SP Łobozew </t>
  </si>
  <si>
    <t>Oświetlenie w m-ci Zawadka PT</t>
  </si>
  <si>
    <t>Oświetlenie w m-ci Ropienka PT</t>
  </si>
  <si>
    <t>Oświetlenie w m-ci Łobozew PT</t>
  </si>
  <si>
    <t>Oświetlenie w m-ci Krościenko PT</t>
  </si>
  <si>
    <t>Oświetlenie w m-ci Daszówka PT</t>
  </si>
  <si>
    <t>Oświetlenie w m-ci Brelików PT</t>
  </si>
  <si>
    <t>Oświetlenie w m-ci Ustrzyki Dolne (Strwiążyk) PT</t>
  </si>
  <si>
    <t>Oświetlenie w m-ci Brzegi Dolne - Łodyna PT</t>
  </si>
  <si>
    <t>Oświetlenie w m-ci Ustrzyki Dolne (Naftowa) PT</t>
  </si>
  <si>
    <t>Oświetlenie w m-ci Ustrzyki Dolne (Bieszczadzka) PT</t>
  </si>
  <si>
    <t>Budowa hali sportowej w Ustrzykach Dolnych szansą na równy dostęp do infrastruktury sportowej uczniów z terenów gmin bieszczadzkich</t>
  </si>
  <si>
    <t xml:space="preserve">Ograniczenie ilości odpadów przedostających się do środowiska naturalnego poprzez rekultywację wysypiska śmieci w Brzegach </t>
  </si>
  <si>
    <t>Dostarczanie ciepła</t>
  </si>
  <si>
    <t>Rozbudowa świetlicy w Ropience</t>
  </si>
  <si>
    <t>Modernizacja budynku UM</t>
  </si>
  <si>
    <t>Stołówki szkolne</t>
  </si>
  <si>
    <t>Wpływy z usług MPK</t>
  </si>
  <si>
    <t>Wpływy z usług MOEiW</t>
  </si>
  <si>
    <t>0760</t>
  </si>
  <si>
    <t>Wpływy z tyt.odpłatnego przekształcenia pr.użyt.wiecz.</t>
  </si>
  <si>
    <t>Rewitalizacja centrum miasta - Poprawa estetyki i funkcjonalności przestrzeni publicznej</t>
  </si>
  <si>
    <t>Tworzenie nowoczesnej bazy turystyczno - rekreacyjnej w Ustrzykach Dolnych -budowa basenu odkrytego przy Międzyszkolnej Krytej Pływalni</t>
  </si>
  <si>
    <t>Tworzenie warunków aktywizacji gospodarczej poprzez przebudowę drogi przy ul. Wiejska</t>
  </si>
  <si>
    <t>Program pod nazwą: Inwestycje w zakresie wytwarzania i zaopatrywania w energię elektryczną,  wodę i gaz</t>
  </si>
  <si>
    <t>L.p</t>
  </si>
  <si>
    <t>Nazwa zadania programu</t>
  </si>
  <si>
    <t>Cel programu</t>
  </si>
  <si>
    <t>Jednostka realizująca program</t>
  </si>
  <si>
    <t>Okres realizacji</t>
  </si>
  <si>
    <t>Łączne nakłady finansowe w okresie real</t>
  </si>
  <si>
    <t>Środki</t>
  </si>
  <si>
    <t xml:space="preserve">własne </t>
  </si>
  <si>
    <t>inne</t>
  </si>
  <si>
    <t xml:space="preserve">Budowa ciepłociągu </t>
  </si>
  <si>
    <t>Urząd Miejski w Ustrzykach</t>
  </si>
  <si>
    <t>2008-2010</t>
  </si>
  <si>
    <t>Program pod nazwą: Rewitalizacja miast</t>
  </si>
  <si>
    <t>Poprawa stanu budynku i placów</t>
  </si>
  <si>
    <t>III</t>
  </si>
  <si>
    <t>Program pod nazwą: Inwestycje drogowe</t>
  </si>
  <si>
    <t>Poprawa warunków przejazdu</t>
  </si>
  <si>
    <t>IV</t>
  </si>
  <si>
    <t>Program pod nazwą: Infrastruktura sportowa i rekreacyjna</t>
  </si>
  <si>
    <t>Tworzenie nowoczesnej bazy turystyczno - rekreacyjnej w Ustrzykach Dolnych -budowa basenu odkrytego przy Międzyszkol.Krytej Pływalni</t>
  </si>
  <si>
    <t>Budowa obiektu</t>
  </si>
  <si>
    <t xml:space="preserve">Urząd Miejski w Ustrzykach </t>
  </si>
  <si>
    <t>V</t>
  </si>
  <si>
    <t>Program pod nazwą: Infrastruktura edukacyjna</t>
  </si>
  <si>
    <t xml:space="preserve">Budowa budynku </t>
  </si>
  <si>
    <t>2008-2011</t>
  </si>
  <si>
    <t>VI</t>
  </si>
  <si>
    <t xml:space="preserve">Program pod nazwą: Infrastruktura ochrony środowiska </t>
  </si>
  <si>
    <t xml:space="preserve">Rekultywacja </t>
  </si>
  <si>
    <t>VII</t>
  </si>
  <si>
    <t xml:space="preserve">Program pod nazwą: Budowa i modernizacja budynków użyteczności publicznej </t>
  </si>
  <si>
    <t xml:space="preserve">Rozbudowa świetlicy w Ropience </t>
  </si>
  <si>
    <t xml:space="preserve">Rozbudowa obiektu użyteczności publicznej </t>
  </si>
  <si>
    <t>RAZEM</t>
  </si>
  <si>
    <t>Drogi publiczne powiatowe</t>
  </si>
  <si>
    <t>Dochody ogółem</t>
  </si>
  <si>
    <t>Dotacje</t>
  </si>
  <si>
    <t>Subwencje</t>
  </si>
  <si>
    <t>Wydatki ogółem</t>
  </si>
  <si>
    <t>Dochody na  2009 rok  w dostosowaniu do  klasyfikacji budżetowej</t>
  </si>
  <si>
    <t>2008</t>
  </si>
  <si>
    <t>2009</t>
  </si>
  <si>
    <t>Wysokość wydatków w latach 2009-2011</t>
  </si>
  <si>
    <t>Przedszkole nr 2 - projekt UDA-POKL.09.01.01-18-245</t>
  </si>
  <si>
    <t>DEFICYT</t>
  </si>
  <si>
    <t>Plan 2010</t>
  </si>
  <si>
    <t>Wpływy ze sprzedaży wyr. i skł. majątkowych.MKP</t>
  </si>
  <si>
    <t>Wpływy z różnych dochodów MKP</t>
  </si>
  <si>
    <t>Dotacja rozwojowa</t>
  </si>
  <si>
    <t>6208</t>
  </si>
  <si>
    <t>8545</t>
  </si>
  <si>
    <t>Pozostała działaność</t>
  </si>
  <si>
    <t>Wytwarzanie i zaopat. w energię elektryczną, gaz i wodę</t>
  </si>
  <si>
    <t>Zasiłki stałe</t>
  </si>
  <si>
    <t>6300</t>
  </si>
  <si>
    <t>6330</t>
  </si>
  <si>
    <t>Dotacja cel.na pomoc finan.udz.m/dy jst na dofin.wł.zad.inwest.</t>
  </si>
  <si>
    <t>Wpływy z tyt. odpłatnego. nabycia prawa własności nieruch.</t>
  </si>
  <si>
    <t>Dotacja rozwojowa - hala</t>
  </si>
  <si>
    <t>Dotacja rozwojowa - odkryte baseny</t>
  </si>
  <si>
    <t>Dotacja rozwojowa - wysypisko</t>
  </si>
  <si>
    <t>MGOPS projekt</t>
  </si>
  <si>
    <t>Dotacja Schetynówka</t>
  </si>
  <si>
    <t>Środki pochodzące z Norweskiego Mechanizmu Finansowego</t>
  </si>
  <si>
    <t>Planowane wydatki majątkowe</t>
  </si>
  <si>
    <t>Dz             Roz.</t>
  </si>
  <si>
    <t>Droga Hoszów</t>
  </si>
  <si>
    <t>Ul.Bieszczadzka</t>
  </si>
  <si>
    <t>Poprawa funkcjonalności komunikacyjnej na terenach rekreacyjno - inwestycyjnych w Ustrzykach Dolnych - Etap III</t>
  </si>
  <si>
    <t>Chodnik ul. Gombrowicza</t>
  </si>
  <si>
    <t>ZSP Nr 1 (boisko)</t>
  </si>
  <si>
    <t>Przedszkole Nr 1 (droga dojazdowa)</t>
  </si>
  <si>
    <t>Budynek BCIP</t>
  </si>
  <si>
    <t>Budynek ul.Przemysłowa (PT dach)</t>
  </si>
  <si>
    <t xml:space="preserve">Wydatki na pomoc finasową dla Gminy Solina na dofinansowanie zadania pn. „Remont drogi gminnej publicznej Nr 118406R w m-ci Solina i Łobozew”  </t>
  </si>
  <si>
    <t>Planowane wydatki majątkowe ogółem na 2010 r.</t>
  </si>
  <si>
    <t>Inwestycje</t>
  </si>
  <si>
    <t xml:space="preserve">Pl.Chopina </t>
  </si>
  <si>
    <t>Likwidacja lokalnych źródeł emisji zanieczyszczeń powietrza poprzez rozbudowę sieci ciepłowniczych w Ustrzykach D.</t>
  </si>
  <si>
    <t xml:space="preserve">Uporządkowanie gospodarki ściekowej w gminie Ustrzyki D.- budowa wodociągu wiejskiego w Dźwiniaczu D. i Stańkowej    </t>
  </si>
  <si>
    <t>GB</t>
  </si>
  <si>
    <t>Informatyka</t>
  </si>
  <si>
    <t>Rozdział</t>
  </si>
  <si>
    <t>Treść</t>
  </si>
  <si>
    <t>Kwota dotacji</t>
  </si>
  <si>
    <t>/ w zł/</t>
  </si>
  <si>
    <t>podmiotowej</t>
  </si>
  <si>
    <t>przedmiotowej</t>
  </si>
  <si>
    <t>celowej</t>
  </si>
  <si>
    <t>Jednostki sektora finansów publicznych</t>
  </si>
  <si>
    <t>Jednostki nie należące do sektora finansów publicznych</t>
  </si>
  <si>
    <t>Ogółem</t>
  </si>
  <si>
    <t>Oświetlenie w m-ci Bandrów (FS)</t>
  </si>
  <si>
    <t>Ogrodzenie bud.światlica Trzcianiec</t>
  </si>
  <si>
    <t>Zadaszenie w Ropience PT</t>
  </si>
  <si>
    <t>Plac zabaw Łodyna</t>
  </si>
  <si>
    <t>Oświetlenie w m-ci Ustrzyki Dolne (W.Pola)</t>
  </si>
  <si>
    <t>Oświetlenie w m-ci Jureczkowa</t>
  </si>
  <si>
    <t>Oświetlenie w m-ci Grąziowa</t>
  </si>
  <si>
    <t>Oświetlenie w m-ci Jałowe</t>
  </si>
  <si>
    <t>Oświetlenie w m-ci Stańkowa - Leszczowate</t>
  </si>
  <si>
    <t>Oświetlenie w m-ci Zadwórze</t>
  </si>
  <si>
    <t>Oświetlenie w m-ci Hoszowczyk</t>
  </si>
  <si>
    <t>(porozumienie z Samorządem Województwa Podkarpackiego  na inwestycje i zakupy inwestycyjne z przeznaczeniem na realizację projektu PSeAP- Podkarpacki System e-Administracji Publicznej)</t>
  </si>
  <si>
    <t xml:space="preserve">Przedszkole Nr 1 </t>
  </si>
  <si>
    <t>Przedszkole Nr 2</t>
  </si>
  <si>
    <t xml:space="preserve">Ustrzycki Dom Kultury </t>
  </si>
  <si>
    <t>Pow.i Miejska Biblioteka Publiczna</t>
  </si>
  <si>
    <t>MPGK Sp.zoo w Ustrzykach D.</t>
  </si>
  <si>
    <t>PGM w Ustrzykach D.</t>
  </si>
  <si>
    <t>Podkarpacka Izba Rolnicza w Boguchwale</t>
  </si>
  <si>
    <t>Nazwa jednostki  /  Nazwa zadania</t>
  </si>
  <si>
    <t xml:space="preserve">Porozumienie z Gminą Miejską Przemyśl na dofinansowanie Miejskiego Ośrodka Zapobiegania Uzależnieniom w Przemyślu </t>
  </si>
  <si>
    <t>Porozumienie z Powiatem Bieszczadzkim -                     pomoc finansowa na dofinan.zadania pn. „Poprawa dostępności komunikacyjnej powiatu poprzez remont drogi powiatowej nr 2269 R Wańkowa – Dźwiniacz - Brzegi D.</t>
  </si>
  <si>
    <t xml:space="preserve">Porozumienie z Gminą Solina  -                                         pomoc finansowa - na dofinan.zadania pn. „Remont drogi gminnej publicznej Nr 118406R w m-ci Solina i Łobozew”  </t>
  </si>
  <si>
    <t xml:space="preserve">Wydatki na pomoc finasową dla Samorządu Województwa Podkarpackiego na dofinansowanie zadania pn. „Budowa chodnika w Ustrzykach Dolnych, w ciągu drogi wojewódzkiej przy ul. Jasień”  </t>
  </si>
  <si>
    <t xml:space="preserve">Wydatki na pomoc finasową dla Powiatu Bieszczadzkiego na dofinansowanie zadania pn. „Poprawa dostępności komunikacyjnej powiatu poprzez remont drogi powiatowej nr 2269 R Wańkowa – Dźwiniacz - Brzegi Dolne”  </t>
  </si>
  <si>
    <t>Parafia Rzymskokatolicka NMP w Ustrzykach D.                    na prace remontowe zabytkowego kościoła parafialnego</t>
  </si>
  <si>
    <t>Organizacja zajęć sportowych i imprez sportowych w zakresie prowadzenia klubu sportowego na terenie miasta Ustrzyki Dolne – sekcja piłki nożnej oraz utrzymanie stadionu sportowego</t>
  </si>
  <si>
    <t>Porozumienie z Samorządem Województwa Podkarp. -           na inwestycje i zakupy inwestycyjne z przeznaczeniem na realizację projektu PSeAP- Podkarpacki System e-Administracji Publicznej</t>
  </si>
  <si>
    <t>Zestawienie planowanych kwot dotacji udzielonych z budżetu Gminy Ustrzyki Dolne</t>
  </si>
  <si>
    <t>Plan dochodów rachunku dochodów własnych oraz wydatków nimi finansowanych</t>
  </si>
  <si>
    <t xml:space="preserve">Uporządkowanie gospod. ściekowej w gminie Ustrzyki D. - budowa wodociągu wiejskiego w Dźwiniaczu D.  i Stańkowej   </t>
  </si>
  <si>
    <t>Budowa wodociągu</t>
  </si>
  <si>
    <t>2007-2010</t>
  </si>
  <si>
    <t>2007-2011</t>
  </si>
  <si>
    <t>Poprawa podstawowych usług w m-ci Ropienka poprzez inwestycje w odnawialne źródła energii - instalacja bateri słonecznych oraz kotłowni olejowej w budynku Zespołu Szkół Publicznych</t>
  </si>
  <si>
    <t>Rewitalizacja centrum miasta -                                                                                              Poprawa estetyki i funkcjonalności przestrzeni publicznej</t>
  </si>
  <si>
    <t>LIMIT WYDATKÓW  NA  WIELOLETNIE   PROGRAMY  INWESTYCYJNE   GMINY USTRZYKI   DOLNE   NA  LATA  2010-2011</t>
  </si>
  <si>
    <t>Planowany 2010                 (dopłata do odsetek)</t>
  </si>
  <si>
    <t>Doch.bieżące + doch.sprzedaż -wyd.bieżące</t>
  </si>
  <si>
    <t>Wskaźnik art.243</t>
  </si>
  <si>
    <t>Planowane spłaty (bez wył)</t>
  </si>
  <si>
    <t>10.1</t>
  </si>
  <si>
    <t>10.2</t>
  </si>
  <si>
    <t>Średnia artytm.(DB+SM-WB) do doch.ogółem</t>
  </si>
  <si>
    <t xml:space="preserve">Planowane spłaty rat kredytów i pożyczek </t>
  </si>
  <si>
    <t>Planowane spłaty do doch.ogółem</t>
  </si>
  <si>
    <t xml:space="preserve">Prognoza kwoty długu i spłat na rok 2010 </t>
  </si>
  <si>
    <t>Prognoza kwoty długu i spłat na rok 2010 i lata następne</t>
  </si>
  <si>
    <t>2009 III kw.</t>
  </si>
  <si>
    <t xml:space="preserve">Planowane spłaty </t>
  </si>
  <si>
    <t>Miasto</t>
  </si>
  <si>
    <t>Wieś</t>
  </si>
  <si>
    <t>Dochody majątkowe</t>
  </si>
  <si>
    <t>ŚDS projekt</t>
  </si>
  <si>
    <t xml:space="preserve">Wsparcie inicjatyw lokalnych związanych z  edukacja, oświatą i wychowaniem, kulturą i sztuką oraz dziedzictwem kulturowym </t>
  </si>
  <si>
    <t>Środowiskowy Dom Samopomocy  w Ustrzykach D.</t>
  </si>
  <si>
    <t>Miejski Ośrodek Pomocy Społecznej w Ustrzykach D.</t>
  </si>
  <si>
    <t>Wysokość wydatków</t>
  </si>
  <si>
    <t>Rekultywacja wysypiska</t>
  </si>
  <si>
    <t>Łączne nakłady finan. w okresie real</t>
  </si>
  <si>
    <t>2010-2013</t>
  </si>
  <si>
    <t>Informatyzacja</t>
  </si>
  <si>
    <t xml:space="preserve">„Podkarpacki System e-Administracji Publicznej” PSeAP   </t>
  </si>
  <si>
    <t>Czas na aktywność w gminie Ustrzyki Dolne</t>
  </si>
  <si>
    <t>Terapia nie zna granic</t>
  </si>
  <si>
    <t>2009-2011</t>
  </si>
  <si>
    <t>Upowszechnianie edukacji przedszkolnej</t>
  </si>
  <si>
    <t>Realizacja gminnej strategii rozwiązywania problemów społecznych</t>
  </si>
  <si>
    <t>Przedszkole przyjazne środowisku</t>
  </si>
  <si>
    <t>Aktywizacja społeczna osób niepełnosprawnych poprzez aktywne formy terapii</t>
  </si>
  <si>
    <t>Razem wydatki majątkowe</t>
  </si>
  <si>
    <t>Razem wydatki bieżące</t>
  </si>
  <si>
    <t>Tworzenie i wdrażanie strategii zarządzania kulturą i ruchem turystycznym w przygranicznych obszarach Polski i Ukrainy</t>
  </si>
  <si>
    <t xml:space="preserve">Intensyfikacja i uatrakcyjnienie współpracy polsko-ukraińskiej związanej z turystyką i kulturą 
</t>
  </si>
  <si>
    <t xml:space="preserve">Porozumienie z Samorządem  Województwa Podkarp. - pomoc finansowa na dofinan.zadania pn. „Budowa chodnika w ciągu drogi wojewódzkiej Nr 896 Ustrzyki Dolne-Ustrzyki Górne”  </t>
  </si>
  <si>
    <t>Projekt budżetu gminy Ustrzyki Dolne na rok 2010</t>
  </si>
  <si>
    <t>Dochody własne</t>
  </si>
  <si>
    <t>Środki z funduszy UE</t>
  </si>
  <si>
    <t>Inne</t>
  </si>
  <si>
    <t>Pozostałe dochody własne</t>
  </si>
  <si>
    <t xml:space="preserve">                  projekt MGOPS</t>
  </si>
  <si>
    <t xml:space="preserve">                  projekt ŚDS</t>
  </si>
  <si>
    <t xml:space="preserve">                  projekt  Przedszkole Nr 2</t>
  </si>
  <si>
    <t xml:space="preserve">                  FN-imprezy</t>
  </si>
  <si>
    <t>Dotacje (Schetynówka)</t>
  </si>
  <si>
    <t xml:space="preserve">           RPO - hala</t>
  </si>
  <si>
    <t xml:space="preserve">            RPO - baseny</t>
  </si>
  <si>
    <t xml:space="preserve">            RPO - rekult. wysypiska</t>
  </si>
  <si>
    <t xml:space="preserve">            FN - termomodernizacja</t>
  </si>
  <si>
    <t>Dochody przewidywane:</t>
  </si>
  <si>
    <t xml:space="preserve">            RPO - wodociąg</t>
  </si>
  <si>
    <t>Gospod. komunalna i ochrona środ., wytw. zaopatryw w e.elek, wodę</t>
  </si>
  <si>
    <t>Pozostała dział. ( MKP i ZFŚS)</t>
  </si>
  <si>
    <t>Oddziały przedszkolne w SP</t>
  </si>
  <si>
    <t>wydatków ogółem</t>
  </si>
  <si>
    <t>Kultura i ochrona dziedzictwa narodowego (Swietlica w Ropience)</t>
  </si>
  <si>
    <t>Kultura fizyczna i sport (Hala i baseny)</t>
  </si>
  <si>
    <t>Wytwarzanie i zaopatryw w e.elekt, gaz, wodę (wodciąg i ciepłociąg)</t>
  </si>
  <si>
    <t>Gospodarka komunalna i ochrona środ. (rekultywacja wysypiska)</t>
  </si>
  <si>
    <t>Oświata i wychowanie (Przedszkole )</t>
  </si>
  <si>
    <t>Prognoza długu rok 2010</t>
  </si>
  <si>
    <t>1. Zadłużenie na koniec 2009</t>
  </si>
  <si>
    <t>2. Prognoza na 2010</t>
  </si>
  <si>
    <t>Planowany kredyty i pożyczki</t>
  </si>
  <si>
    <t>3. Zadłużenie na koniec roku</t>
  </si>
  <si>
    <t>% do planowanych dochodów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</si>
</sst>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\ _z_ł_-;\-* #,##0.0\ _z_ł_-;_-* &quot;-&quot;?\ _z_ł_-;_-@_-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#,##0.00_ ;\-#,##0.00\ "/>
    <numFmt numFmtId="173" formatCode="#,##0.00\ _z_ł"/>
    <numFmt numFmtId="174" formatCode="#,##0.0\ _z_ł"/>
    <numFmt numFmtId="175" formatCode="#,##0\ _z_ł"/>
    <numFmt numFmtId="176" formatCode="_-* #,##0.000\ _z_ł_-;\-* #,##0.000\ _z_ł_-;_-* &quot;-&quot;???\ _z_ł_-;_-@_-"/>
    <numFmt numFmtId="177" formatCode="#,##0.0\ _z_ł;[Red]\-#,##0.0\ _z_ł"/>
  </numFmts>
  <fonts count="35">
    <font>
      <sz val="10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</font>
    <font>
      <b/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55"/>
      <name val="Arial Narrow"/>
      <family val="2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u val="singleAccounting"/>
      <sz val="10"/>
      <color indexed="55"/>
      <name val="Arial Narrow"/>
      <family val="2"/>
    </font>
    <font>
      <u val="single"/>
      <sz val="10"/>
      <color indexed="55"/>
      <name val="Arial Narrow"/>
      <family val="2"/>
    </font>
    <font>
      <u val="single"/>
      <sz val="9"/>
      <name val="Arial Narrow"/>
      <family val="2"/>
    </font>
    <font>
      <u val="singleAccounting"/>
      <sz val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CE"/>
      <family val="0"/>
    </font>
    <font>
      <b/>
      <u val="singleAccounting"/>
      <sz val="8"/>
      <name val="Arial Narrow"/>
      <family val="2"/>
    </font>
    <font>
      <sz val="7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68" fontId="5" fillId="0" borderId="0" xfId="15" applyNumberFormat="1" applyFont="1" applyAlignment="1">
      <alignment horizontal="left"/>
    </xf>
    <xf numFmtId="168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168" fontId="5" fillId="0" borderId="2" xfId="15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8" fontId="4" fillId="0" borderId="3" xfId="15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68" fontId="7" fillId="0" borderId="3" xfId="15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168" fontId="5" fillId="0" borderId="3" xfId="15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168" fontId="5" fillId="0" borderId="6" xfId="15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168" fontId="4" fillId="0" borderId="8" xfId="15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168" fontId="5" fillId="0" borderId="8" xfId="15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68" fontId="5" fillId="0" borderId="5" xfId="15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168" fontId="5" fillId="0" borderId="7" xfId="15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8" fontId="4" fillId="0" borderId="4" xfId="15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8" fontId="6" fillId="0" borderId="5" xfId="15" applyNumberFormat="1" applyFont="1" applyBorder="1" applyAlignment="1">
      <alignment horizontal="left" vertical="top" wrapText="1"/>
    </xf>
    <xf numFmtId="168" fontId="4" fillId="0" borderId="13" xfId="15" applyNumberFormat="1" applyFont="1" applyBorder="1" applyAlignment="1">
      <alignment horizontal="left" vertical="top" wrapText="1"/>
    </xf>
    <xf numFmtId="168" fontId="7" fillId="0" borderId="0" xfId="15" applyNumberFormat="1" applyFont="1" applyBorder="1" applyAlignment="1">
      <alignment horizontal="left" vertical="top" wrapText="1"/>
    </xf>
    <xf numFmtId="168" fontId="7" fillId="0" borderId="5" xfId="15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/>
    </xf>
    <xf numFmtId="168" fontId="5" fillId="0" borderId="0" xfId="15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168" fontId="5" fillId="0" borderId="12" xfId="15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/>
    </xf>
    <xf numFmtId="168" fontId="4" fillId="0" borderId="5" xfId="15" applyNumberFormat="1" applyFont="1" applyBorder="1" applyAlignment="1">
      <alignment horizontal="left" vertical="top" wrapText="1"/>
    </xf>
    <xf numFmtId="168" fontId="4" fillId="0" borderId="0" xfId="15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8" fontId="4" fillId="0" borderId="6" xfId="15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9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5" fillId="0" borderId="14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/>
    </xf>
    <xf numFmtId="0" fontId="4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68" fontId="5" fillId="0" borderId="0" xfId="15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168" fontId="4" fillId="0" borderId="0" xfId="15" applyNumberFormat="1" applyFont="1" applyAlignment="1">
      <alignment horizontal="center"/>
    </xf>
    <xf numFmtId="168" fontId="4" fillId="0" borderId="0" xfId="15" applyNumberFormat="1" applyFont="1" applyAlignment="1">
      <alignment/>
    </xf>
    <xf numFmtId="168" fontId="5" fillId="0" borderId="0" xfId="15" applyNumberFormat="1" applyFont="1" applyBorder="1" applyAlignment="1">
      <alignment/>
    </xf>
    <xf numFmtId="168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68" fontId="5" fillId="0" borderId="4" xfId="15" applyNumberFormat="1" applyFont="1" applyBorder="1" applyAlignment="1">
      <alignment horizontal="left" vertical="top" wrapText="1"/>
    </xf>
    <xf numFmtId="168" fontId="5" fillId="0" borderId="13" xfId="15" applyNumberFormat="1" applyFont="1" applyBorder="1" applyAlignment="1">
      <alignment horizontal="left" vertical="top" wrapText="1"/>
    </xf>
    <xf numFmtId="43" fontId="5" fillId="0" borderId="0" xfId="15" applyFont="1" applyAlignment="1">
      <alignment horizontal="left"/>
    </xf>
    <xf numFmtId="43" fontId="5" fillId="0" borderId="0" xfId="15" applyFont="1" applyAlignment="1">
      <alignment/>
    </xf>
    <xf numFmtId="43" fontId="5" fillId="0" borderId="5" xfId="15" applyFont="1" applyBorder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168" fontId="11" fillId="0" borderId="0" xfId="15" applyNumberFormat="1" applyFont="1" applyBorder="1" applyAlignment="1">
      <alignment horizontal="left" vertical="top" wrapText="1"/>
    </xf>
    <xf numFmtId="168" fontId="11" fillId="0" borderId="5" xfId="15" applyNumberFormat="1" applyFont="1" applyBorder="1" applyAlignment="1">
      <alignment horizontal="left" vertical="top" wrapText="1"/>
    </xf>
    <xf numFmtId="43" fontId="4" fillId="0" borderId="4" xfId="15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43" fontId="5" fillId="0" borderId="4" xfId="15" applyFont="1" applyBorder="1" applyAlignment="1">
      <alignment horizontal="center"/>
    </xf>
    <xf numFmtId="43" fontId="5" fillId="0" borderId="0" xfId="15" applyFont="1" applyAlignment="1">
      <alignment horizontal="center"/>
    </xf>
    <xf numFmtId="0" fontId="5" fillId="0" borderId="5" xfId="0" applyFont="1" applyBorder="1" applyAlignment="1">
      <alignment horizontal="right" vertical="top" wrapText="1"/>
    </xf>
    <xf numFmtId="43" fontId="5" fillId="0" borderId="7" xfId="15" applyFont="1" applyBorder="1" applyAlignment="1">
      <alignment/>
    </xf>
    <xf numFmtId="43" fontId="4" fillId="0" borderId="1" xfId="15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top"/>
    </xf>
    <xf numFmtId="43" fontId="4" fillId="0" borderId="4" xfId="15" applyFont="1" applyBorder="1" applyAlignment="1">
      <alignment vertical="top"/>
    </xf>
    <xf numFmtId="43" fontId="5" fillId="0" borderId="5" xfId="15" applyFont="1" applyBorder="1" applyAlignment="1">
      <alignment vertical="top"/>
    </xf>
    <xf numFmtId="43" fontId="5" fillId="0" borderId="7" xfId="15" applyFont="1" applyBorder="1" applyAlignment="1">
      <alignment vertical="top"/>
    </xf>
    <xf numFmtId="43" fontId="4" fillId="0" borderId="5" xfId="15" applyFont="1" applyBorder="1" applyAlignment="1">
      <alignment vertical="top" wrapText="1"/>
    </xf>
    <xf numFmtId="43" fontId="4" fillId="0" borderId="8" xfId="15" applyFont="1" applyBorder="1" applyAlignment="1">
      <alignment vertical="top"/>
    </xf>
    <xf numFmtId="43" fontId="5" fillId="0" borderId="3" xfId="15" applyFont="1" applyBorder="1" applyAlignment="1">
      <alignment vertical="top"/>
    </xf>
    <xf numFmtId="43" fontId="5" fillId="0" borderId="6" xfId="15" applyFont="1" applyBorder="1" applyAlignment="1">
      <alignment vertical="top"/>
    </xf>
    <xf numFmtId="43" fontId="5" fillId="0" borderId="7" xfId="15" applyFont="1" applyBorder="1" applyAlignment="1">
      <alignment vertical="top" wrapText="1"/>
    </xf>
    <xf numFmtId="43" fontId="4" fillId="0" borderId="5" xfId="15" applyFont="1" applyBorder="1" applyAlignment="1">
      <alignment vertical="top"/>
    </xf>
    <xf numFmtId="43" fontId="5" fillId="0" borderId="5" xfId="15" applyFont="1" applyBorder="1" applyAlignment="1">
      <alignment vertical="top" wrapText="1"/>
    </xf>
    <xf numFmtId="43" fontId="5" fillId="0" borderId="3" xfId="15" applyFont="1" applyBorder="1" applyAlignment="1">
      <alignment vertical="top" wrapText="1"/>
    </xf>
    <xf numFmtId="43" fontId="4" fillId="0" borderId="8" xfId="15" applyFont="1" applyBorder="1" applyAlignment="1">
      <alignment vertical="top" wrapText="1"/>
    </xf>
    <xf numFmtId="43" fontId="5" fillId="0" borderId="5" xfId="15" applyFont="1" applyBorder="1" applyAlignment="1">
      <alignment horizontal="justify" vertical="top"/>
    </xf>
    <xf numFmtId="43" fontId="5" fillId="0" borderId="5" xfId="15" applyFont="1" applyBorder="1" applyAlignment="1">
      <alignment horizontal="center" vertical="top"/>
    </xf>
    <xf numFmtId="43" fontId="4" fillId="0" borderId="8" xfId="15" applyFont="1" applyBorder="1" applyAlignment="1">
      <alignment horizontal="center" vertical="top"/>
    </xf>
    <xf numFmtId="43" fontId="5" fillId="0" borderId="3" xfId="15" applyFont="1" applyBorder="1" applyAlignment="1">
      <alignment horizontal="center" vertical="top"/>
    </xf>
    <xf numFmtId="43" fontId="11" fillId="0" borderId="0" xfId="15" applyFont="1" applyAlignment="1">
      <alignment horizontal="center" vertical="top"/>
    </xf>
    <xf numFmtId="43" fontId="5" fillId="0" borderId="5" xfId="15" applyFont="1" applyFill="1" applyBorder="1" applyAlignment="1">
      <alignment vertical="top"/>
    </xf>
    <xf numFmtId="43" fontId="4" fillId="2" borderId="1" xfId="15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43" fontId="4" fillId="2" borderId="4" xfId="15" applyFont="1" applyFill="1" applyBorder="1" applyAlignment="1">
      <alignment horizontal="center" vertical="top" wrapText="1"/>
    </xf>
    <xf numFmtId="43" fontId="4" fillId="0" borderId="5" xfId="15" applyFont="1" applyBorder="1" applyAlignment="1">
      <alignment/>
    </xf>
    <xf numFmtId="43" fontId="4" fillId="2" borderId="1" xfId="15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43" fontId="4" fillId="2" borderId="1" xfId="15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3" fontId="4" fillId="2" borderId="6" xfId="15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8" fontId="4" fillId="2" borderId="1" xfId="15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43" fontId="5" fillId="0" borderId="22" xfId="15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43" fontId="5" fillId="0" borderId="23" xfId="15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43" fontId="5" fillId="0" borderId="24" xfId="15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168" fontId="4" fillId="2" borderId="6" xfId="15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168" fontId="4" fillId="2" borderId="8" xfId="15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4" fillId="2" borderId="11" xfId="0" applyFont="1" applyFill="1" applyBorder="1" applyAlignment="1">
      <alignment/>
    </xf>
    <xf numFmtId="168" fontId="4" fillId="2" borderId="13" xfId="15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3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43" fontId="4" fillId="0" borderId="3" xfId="15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3" fontId="5" fillId="0" borderId="6" xfId="15" applyFont="1" applyFill="1" applyBorder="1" applyAlignment="1">
      <alignment vertical="top" wrapText="1"/>
    </xf>
    <xf numFmtId="43" fontId="4" fillId="2" borderId="1" xfId="15" applyFont="1" applyFill="1" applyBorder="1" applyAlignment="1">
      <alignment horizontal="center"/>
    </xf>
    <xf numFmtId="43" fontId="5" fillId="0" borderId="0" xfId="15" applyFont="1" applyBorder="1" applyAlignment="1">
      <alignment vertical="top"/>
    </xf>
    <xf numFmtId="43" fontId="5" fillId="0" borderId="0" xfId="15" applyFont="1" applyBorder="1" applyAlignment="1">
      <alignment vertical="top" wrapText="1"/>
    </xf>
    <xf numFmtId="43" fontId="5" fillId="0" borderId="0" xfId="15" applyFont="1" applyFill="1" applyBorder="1" applyAlignment="1">
      <alignment vertical="top" wrapText="1"/>
    </xf>
    <xf numFmtId="43" fontId="4" fillId="0" borderId="13" xfId="15" applyFont="1" applyBorder="1" applyAlignment="1">
      <alignment vertical="top"/>
    </xf>
    <xf numFmtId="43" fontId="5" fillId="0" borderId="12" xfId="15" applyFont="1" applyBorder="1" applyAlignment="1">
      <alignment vertical="top"/>
    </xf>
    <xf numFmtId="43" fontId="5" fillId="0" borderId="6" xfId="15" applyFont="1" applyBorder="1" applyAlignment="1">
      <alignment horizontal="center" vertical="top"/>
    </xf>
    <xf numFmtId="0" fontId="4" fillId="2" borderId="2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3" fontId="5" fillId="0" borderId="7" xfId="15" applyFont="1" applyBorder="1" applyAlignment="1">
      <alignment horizontal="center" vertical="top"/>
    </xf>
    <xf numFmtId="43" fontId="4" fillId="0" borderId="9" xfId="15" applyFont="1" applyBorder="1" applyAlignment="1">
      <alignment vertical="top"/>
    </xf>
    <xf numFmtId="43" fontId="5" fillId="0" borderId="10" xfId="15" applyFont="1" applyBorder="1" applyAlignment="1">
      <alignment vertical="top" wrapText="1"/>
    </xf>
    <xf numFmtId="43" fontId="5" fillId="0" borderId="11" xfId="15" applyFont="1" applyBorder="1" applyAlignment="1">
      <alignment vertical="top" wrapText="1"/>
    </xf>
    <xf numFmtId="43" fontId="5" fillId="0" borderId="10" xfId="15" applyFont="1" applyFill="1" applyBorder="1" applyAlignment="1">
      <alignment vertical="top"/>
    </xf>
    <xf numFmtId="43" fontId="5" fillId="0" borderId="10" xfId="15" applyFont="1" applyBorder="1" applyAlignment="1">
      <alignment vertical="top"/>
    </xf>
    <xf numFmtId="43" fontId="5" fillId="0" borderId="10" xfId="15" applyFont="1" applyFill="1" applyBorder="1" applyAlignment="1">
      <alignment vertical="top" wrapText="1"/>
    </xf>
    <xf numFmtId="43" fontId="5" fillId="0" borderId="12" xfId="15" applyFont="1" applyBorder="1" applyAlignment="1">
      <alignment vertical="top" wrapText="1"/>
    </xf>
    <xf numFmtId="43" fontId="4" fillId="0" borderId="10" xfId="15" applyFont="1" applyBorder="1" applyAlignment="1">
      <alignment vertical="top"/>
    </xf>
    <xf numFmtId="43" fontId="4" fillId="0" borderId="9" xfId="15" applyFont="1" applyBorder="1" applyAlignment="1">
      <alignment horizontal="center" vertical="top"/>
    </xf>
    <xf numFmtId="43" fontId="5" fillId="0" borderId="10" xfId="15" applyFont="1" applyBorder="1" applyAlignment="1">
      <alignment horizontal="center" vertical="top"/>
    </xf>
    <xf numFmtId="43" fontId="5" fillId="0" borderId="9" xfId="15" applyFont="1" applyBorder="1" applyAlignment="1">
      <alignment horizontal="center" vertical="top"/>
    </xf>
    <xf numFmtId="43" fontId="4" fillId="0" borderId="13" xfId="15" applyFont="1" applyBorder="1" applyAlignment="1">
      <alignment horizontal="center" vertical="top"/>
    </xf>
    <xf numFmtId="43" fontId="5" fillId="0" borderId="0" xfId="15" applyFont="1" applyBorder="1" applyAlignment="1">
      <alignment horizontal="center" vertical="top"/>
    </xf>
    <xf numFmtId="43" fontId="4" fillId="2" borderId="21" xfId="15" applyFont="1" applyFill="1" applyBorder="1" applyAlignment="1">
      <alignment horizontal="center" vertical="top"/>
    </xf>
    <xf numFmtId="0" fontId="12" fillId="2" borderId="1" xfId="0" applyFont="1" applyFill="1" applyBorder="1" applyAlignment="1">
      <alignment/>
    </xf>
    <xf numFmtId="43" fontId="5" fillId="2" borderId="1" xfId="15" applyFont="1" applyFill="1" applyBorder="1" applyAlignment="1">
      <alignment/>
    </xf>
    <xf numFmtId="43" fontId="0" fillId="0" borderId="0" xfId="0" applyNumberFormat="1" applyFont="1" applyAlignment="1">
      <alignment/>
    </xf>
    <xf numFmtId="43" fontId="4" fillId="0" borderId="0" xfId="15" applyFont="1" applyAlignment="1">
      <alignment/>
    </xf>
    <xf numFmtId="43" fontId="5" fillId="0" borderId="5" xfId="15" applyNumberFormat="1" applyFont="1" applyFill="1" applyBorder="1" applyAlignment="1">
      <alignment vertical="top" wrapText="1"/>
    </xf>
    <xf numFmtId="43" fontId="4" fillId="2" borderId="7" xfId="15" applyFont="1" applyFill="1" applyBorder="1" applyAlignment="1">
      <alignment horizontal="center" vertical="top" wrapText="1"/>
    </xf>
    <xf numFmtId="43" fontId="0" fillId="0" borderId="0" xfId="15" applyAlignment="1">
      <alignment/>
    </xf>
    <xf numFmtId="44" fontId="5" fillId="0" borderId="0" xfId="15" applyNumberFormat="1" applyFont="1" applyAlignment="1">
      <alignment/>
    </xf>
    <xf numFmtId="43" fontId="5" fillId="0" borderId="1" xfId="15" applyFont="1" applyBorder="1" applyAlignment="1">
      <alignment/>
    </xf>
    <xf numFmtId="44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 horizontal="center"/>
    </xf>
    <xf numFmtId="44" fontId="5" fillId="0" borderId="1" xfId="15" applyNumberFormat="1" applyFont="1" applyBorder="1" applyAlignment="1">
      <alignment horizontal="center"/>
    </xf>
    <xf numFmtId="44" fontId="5" fillId="0" borderId="4" xfId="15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4" fontId="4" fillId="0" borderId="0" xfId="15" applyNumberFormat="1" applyFont="1" applyAlignment="1">
      <alignment/>
    </xf>
    <xf numFmtId="0" fontId="5" fillId="0" borderId="0" xfId="0" applyFont="1" applyFill="1" applyBorder="1" applyAlignment="1">
      <alignment vertical="top" wrapText="1"/>
    </xf>
    <xf numFmtId="44" fontId="5" fillId="0" borderId="0" xfId="15" applyNumberFormat="1" applyFont="1" applyAlignment="1">
      <alignment horizontal="center"/>
    </xf>
    <xf numFmtId="40" fontId="5" fillId="0" borderId="0" xfId="0" applyNumberFormat="1" applyFont="1" applyAlignment="1">
      <alignment horizontal="right"/>
    </xf>
    <xf numFmtId="40" fontId="5" fillId="0" borderId="4" xfId="15" applyNumberFormat="1" applyFont="1" applyBorder="1" applyAlignment="1">
      <alignment horizontal="right"/>
    </xf>
    <xf numFmtId="40" fontId="5" fillId="0" borderId="8" xfId="0" applyNumberFormat="1" applyFont="1" applyBorder="1" applyAlignment="1">
      <alignment horizontal="right"/>
    </xf>
    <xf numFmtId="40" fontId="5" fillId="0" borderId="5" xfId="15" applyNumberFormat="1" applyFont="1" applyBorder="1" applyAlignment="1">
      <alignment horizontal="right"/>
    </xf>
    <xf numFmtId="40" fontId="5" fillId="0" borderId="3" xfId="0" applyNumberFormat="1" applyFont="1" applyBorder="1" applyAlignment="1">
      <alignment horizontal="right"/>
    </xf>
    <xf numFmtId="40" fontId="5" fillId="0" borderId="7" xfId="15" applyNumberFormat="1" applyFont="1" applyBorder="1" applyAlignment="1">
      <alignment horizontal="right"/>
    </xf>
    <xf numFmtId="40" fontId="5" fillId="0" borderId="6" xfId="0" applyNumberFormat="1" applyFont="1" applyBorder="1" applyAlignment="1">
      <alignment horizontal="right"/>
    </xf>
    <xf numFmtId="43" fontId="5" fillId="0" borderId="0" xfId="15" applyFont="1" applyAlignment="1">
      <alignment horizontal="right"/>
    </xf>
    <xf numFmtId="168" fontId="5" fillId="0" borderId="0" xfId="15" applyNumberFormat="1" applyFont="1" applyAlignment="1">
      <alignment horizontal="right"/>
    </xf>
    <xf numFmtId="43" fontId="4" fillId="0" borderId="4" xfId="15" applyFont="1" applyBorder="1" applyAlignment="1">
      <alignment horizontal="right" vertical="top"/>
    </xf>
    <xf numFmtId="43" fontId="5" fillId="0" borderId="5" xfId="15" applyFont="1" applyBorder="1" applyAlignment="1">
      <alignment horizontal="right" vertical="top"/>
    </xf>
    <xf numFmtId="43" fontId="5" fillId="0" borderId="5" xfId="0" applyNumberFormat="1" applyFont="1" applyBorder="1" applyAlignment="1">
      <alignment horizontal="right"/>
    </xf>
    <xf numFmtId="43" fontId="5" fillId="0" borderId="7" xfId="15" applyFont="1" applyBorder="1" applyAlignment="1">
      <alignment horizontal="right" vertical="top"/>
    </xf>
    <xf numFmtId="43" fontId="5" fillId="0" borderId="7" xfId="0" applyNumberFormat="1" applyFont="1" applyBorder="1" applyAlignment="1">
      <alignment horizontal="right"/>
    </xf>
    <xf numFmtId="175" fontId="5" fillId="0" borderId="0" xfId="15" applyNumberFormat="1" applyFont="1" applyAlignment="1">
      <alignment horizontal="right"/>
    </xf>
    <xf numFmtId="175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11" fillId="0" borderId="0" xfId="15" applyNumberFormat="1" applyFont="1" applyAlignment="1">
      <alignment horizontal="center" vertical="top"/>
    </xf>
    <xf numFmtId="168" fontId="5" fillId="0" borderId="1" xfId="15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left"/>
    </xf>
    <xf numFmtId="168" fontId="0" fillId="0" borderId="0" xfId="15" applyNumberFormat="1" applyFont="1" applyAlignment="1">
      <alignment horizontal="center"/>
    </xf>
    <xf numFmtId="43" fontId="4" fillId="0" borderId="0" xfId="15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5" fillId="0" borderId="0" xfId="15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3" fontId="4" fillId="0" borderId="0" xfId="15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/>
    </xf>
    <xf numFmtId="43" fontId="5" fillId="0" borderId="7" xfId="15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168" fontId="5" fillId="0" borderId="1" xfId="15" applyNumberFormat="1" applyFont="1" applyFill="1" applyBorder="1" applyAlignment="1">
      <alignment/>
    </xf>
    <xf numFmtId="43" fontId="5" fillId="0" borderId="1" xfId="15" applyFont="1" applyBorder="1" applyAlignment="1">
      <alignment/>
    </xf>
    <xf numFmtId="43" fontId="4" fillId="2" borderId="1" xfId="15" applyFont="1" applyFill="1" applyBorder="1" applyAlignment="1">
      <alignment/>
    </xf>
    <xf numFmtId="43" fontId="5" fillId="0" borderId="6" xfId="15" applyFont="1" applyFill="1" applyBorder="1" applyAlignment="1" applyProtection="1">
      <alignment horizontal="center" vertical="top" wrapText="1"/>
      <protection/>
    </xf>
    <xf numFmtId="43" fontId="5" fillId="0" borderId="6" xfId="15" applyFont="1" applyFill="1" applyBorder="1" applyAlignment="1">
      <alignment horizontal="center" vertical="top" wrapText="1"/>
    </xf>
    <xf numFmtId="43" fontId="5" fillId="0" borderId="3" xfId="15" applyFont="1" applyFill="1" applyBorder="1" applyAlignment="1">
      <alignment horizontal="center" vertical="top" wrapText="1"/>
    </xf>
    <xf numFmtId="43" fontId="5" fillId="0" borderId="1" xfId="15" applyFont="1" applyFill="1" applyBorder="1" applyAlignment="1">
      <alignment/>
    </xf>
    <xf numFmtId="43" fontId="5" fillId="0" borderId="3" xfId="15" applyFont="1" applyFill="1" applyBorder="1" applyAlignment="1">
      <alignment horizontal="center" vertical="center"/>
    </xf>
    <xf numFmtId="43" fontId="5" fillId="0" borderId="6" xfId="15" applyFont="1" applyFill="1" applyBorder="1" applyAlignment="1">
      <alignment horizontal="center" vertical="center"/>
    </xf>
    <xf numFmtId="43" fontId="5" fillId="0" borderId="8" xfId="15" applyFont="1" applyFill="1" applyBorder="1" applyAlignment="1">
      <alignment horizontal="center" vertical="top" wrapText="1"/>
    </xf>
    <xf numFmtId="43" fontId="5" fillId="0" borderId="5" xfId="15" applyFont="1" applyFill="1" applyBorder="1" applyAlignment="1">
      <alignment horizontal="center" vertical="top" wrapText="1"/>
    </xf>
    <xf numFmtId="43" fontId="5" fillId="0" borderId="7" xfId="15" applyFont="1" applyFill="1" applyBorder="1" applyAlignment="1">
      <alignment horizontal="center" vertical="top" wrapText="1"/>
    </xf>
    <xf numFmtId="43" fontId="21" fillId="0" borderId="0" xfId="15" applyFont="1" applyAlignment="1">
      <alignment horizontal="center"/>
    </xf>
    <xf numFmtId="43" fontId="21" fillId="0" borderId="2" xfId="15" applyFont="1" applyBorder="1" applyAlignment="1">
      <alignment horizontal="center" vertical="top" wrapText="1"/>
    </xf>
    <xf numFmtId="43" fontId="22" fillId="0" borderId="3" xfId="15" applyFont="1" applyBorder="1" applyAlignment="1">
      <alignment horizontal="center" vertical="top" wrapText="1"/>
    </xf>
    <xf numFmtId="43" fontId="23" fillId="0" borderId="3" xfId="15" applyFont="1" applyBorder="1" applyAlignment="1">
      <alignment horizontal="center" vertical="top" wrapText="1"/>
    </xf>
    <xf numFmtId="43" fontId="21" fillId="0" borderId="3" xfId="15" applyFont="1" applyBorder="1" applyAlignment="1">
      <alignment horizontal="center" vertical="top" wrapText="1"/>
    </xf>
    <xf numFmtId="43" fontId="21" fillId="0" borderId="6" xfId="15" applyFont="1" applyBorder="1" applyAlignment="1">
      <alignment horizontal="center" vertical="top" wrapText="1"/>
    </xf>
    <xf numFmtId="43" fontId="22" fillId="0" borderId="8" xfId="15" applyFont="1" applyBorder="1" applyAlignment="1">
      <alignment horizontal="center" vertical="top" wrapText="1"/>
    </xf>
    <xf numFmtId="43" fontId="21" fillId="0" borderId="5" xfId="15" applyFont="1" applyBorder="1" applyAlignment="1">
      <alignment horizontal="center" vertical="top" wrapText="1"/>
    </xf>
    <xf numFmtId="43" fontId="21" fillId="0" borderId="7" xfId="15" applyFont="1" applyBorder="1" applyAlignment="1">
      <alignment horizontal="center" vertical="top" wrapText="1"/>
    </xf>
    <xf numFmtId="43" fontId="22" fillId="0" borderId="4" xfId="15" applyFont="1" applyBorder="1" applyAlignment="1">
      <alignment horizontal="center" vertical="top" wrapText="1"/>
    </xf>
    <xf numFmtId="43" fontId="24" fillId="0" borderId="5" xfId="15" applyFont="1" applyBorder="1" applyAlignment="1">
      <alignment horizontal="center" vertical="top" wrapText="1"/>
    </xf>
    <xf numFmtId="43" fontId="23" fillId="0" borderId="5" xfId="15" applyFont="1" applyBorder="1" applyAlignment="1">
      <alignment horizontal="center" vertical="top" wrapText="1"/>
    </xf>
    <xf numFmtId="43" fontId="22" fillId="0" borderId="5" xfId="15" applyFont="1" applyBorder="1" applyAlignment="1">
      <alignment horizontal="center" vertical="top" wrapText="1"/>
    </xf>
    <xf numFmtId="43" fontId="21" fillId="0" borderId="8" xfId="15" applyFont="1" applyBorder="1" applyAlignment="1">
      <alignment horizontal="center" vertical="top" wrapText="1"/>
    </xf>
    <xf numFmtId="43" fontId="22" fillId="0" borderId="6" xfId="15" applyFont="1" applyBorder="1" applyAlignment="1">
      <alignment horizontal="center" vertical="top" wrapText="1"/>
    </xf>
    <xf numFmtId="0" fontId="20" fillId="0" borderId="0" xfId="0" applyFont="1" applyAlignment="1">
      <alignment/>
    </xf>
    <xf numFmtId="40" fontId="20" fillId="0" borderId="0" xfId="0" applyNumberFormat="1" applyFont="1" applyAlignment="1">
      <alignment/>
    </xf>
    <xf numFmtId="43" fontId="5" fillId="0" borderId="0" xfId="15" applyFont="1" applyFill="1" applyAlignment="1">
      <alignment horizontal="center"/>
    </xf>
    <xf numFmtId="43" fontId="5" fillId="0" borderId="2" xfId="15" applyFont="1" applyFill="1" applyBorder="1" applyAlignment="1">
      <alignment horizontal="center" vertical="top" wrapText="1"/>
    </xf>
    <xf numFmtId="43" fontId="4" fillId="0" borderId="3" xfId="15" applyFont="1" applyFill="1" applyBorder="1" applyAlignment="1">
      <alignment horizontal="center" vertical="top" wrapText="1"/>
    </xf>
    <xf numFmtId="43" fontId="7" fillId="0" borderId="3" xfId="15" applyFont="1" applyFill="1" applyBorder="1" applyAlignment="1">
      <alignment horizontal="center" vertical="top" wrapText="1"/>
    </xf>
    <xf numFmtId="43" fontId="4" fillId="0" borderId="8" xfId="15" applyFont="1" applyFill="1" applyBorder="1" applyAlignment="1">
      <alignment horizontal="center" vertical="top" wrapText="1"/>
    </xf>
    <xf numFmtId="43" fontId="4" fillId="0" borderId="4" xfId="15" applyFont="1" applyFill="1" applyBorder="1" applyAlignment="1">
      <alignment horizontal="center" vertical="top" wrapText="1"/>
    </xf>
    <xf numFmtId="43" fontId="6" fillId="0" borderId="5" xfId="15" applyFont="1" applyFill="1" applyBorder="1" applyAlignment="1">
      <alignment horizontal="center" vertical="top" wrapText="1"/>
    </xf>
    <xf numFmtId="43" fontId="7" fillId="0" borderId="5" xfId="15" applyFont="1" applyFill="1" applyBorder="1" applyAlignment="1">
      <alignment horizontal="center" vertical="top" wrapText="1"/>
    </xf>
    <xf numFmtId="43" fontId="11" fillId="0" borderId="5" xfId="15" applyFont="1" applyFill="1" applyBorder="1" applyAlignment="1">
      <alignment horizontal="center" vertical="top" wrapText="1"/>
    </xf>
    <xf numFmtId="43" fontId="4" fillId="0" borderId="5" xfId="15" applyFont="1" applyFill="1" applyBorder="1" applyAlignment="1">
      <alignment horizontal="center" vertical="top" wrapText="1"/>
    </xf>
    <xf numFmtId="43" fontId="4" fillId="0" borderId="6" xfId="15" applyFont="1" applyFill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43" fontId="21" fillId="0" borderId="0" xfId="15" applyFont="1" applyAlignment="1">
      <alignment horizontal="right" vertical="top"/>
    </xf>
    <xf numFmtId="43" fontId="21" fillId="0" borderId="1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8" fontId="5" fillId="0" borderId="0" xfId="15" applyNumberFormat="1" applyFont="1" applyAlignment="1">
      <alignment vertical="top"/>
    </xf>
    <xf numFmtId="168" fontId="25" fillId="0" borderId="5" xfId="15" applyNumberFormat="1" applyFont="1" applyBorder="1" applyAlignment="1">
      <alignment vertical="center" wrapText="1"/>
    </xf>
    <xf numFmtId="168" fontId="16" fillId="0" borderId="7" xfId="15" applyNumberFormat="1" applyFont="1" applyBorder="1" applyAlignment="1">
      <alignment vertical="center" wrapText="1"/>
    </xf>
    <xf numFmtId="168" fontId="5" fillId="0" borderId="0" xfId="15" applyNumberFormat="1" applyFont="1" applyBorder="1" applyAlignment="1">
      <alignment horizontal="center" vertical="center" wrapText="1"/>
    </xf>
    <xf numFmtId="168" fontId="4" fillId="0" borderId="0" xfId="15" applyNumberFormat="1" applyFont="1" applyBorder="1" applyAlignment="1">
      <alignment horizontal="center" vertical="center" wrapText="1"/>
    </xf>
    <xf numFmtId="168" fontId="4" fillId="0" borderId="0" xfId="15" applyNumberFormat="1" applyFont="1" applyBorder="1" applyAlignment="1">
      <alignment horizontal="center" vertical="top" wrapText="1"/>
    </xf>
    <xf numFmtId="168" fontId="4" fillId="0" borderId="0" xfId="15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68" fontId="5" fillId="0" borderId="0" xfId="15" applyNumberFormat="1" applyFont="1" applyBorder="1" applyAlignment="1">
      <alignment/>
    </xf>
    <xf numFmtId="168" fontId="5" fillId="0" borderId="0" xfId="15" applyNumberFormat="1" applyFont="1" applyBorder="1" applyAlignment="1">
      <alignment vertical="top"/>
    </xf>
    <xf numFmtId="168" fontId="4" fillId="0" borderId="0" xfId="15" applyNumberFormat="1" applyFont="1" applyBorder="1" applyAlignment="1">
      <alignment vertical="top"/>
    </xf>
    <xf numFmtId="168" fontId="16" fillId="2" borderId="7" xfId="15" applyNumberFormat="1" applyFont="1" applyFill="1" applyBorder="1" applyAlignment="1">
      <alignment vertical="center" wrapText="1"/>
    </xf>
    <xf numFmtId="168" fontId="18" fillId="0" borderId="0" xfId="15" applyNumberFormat="1" applyFont="1" applyAlignment="1">
      <alignment horizontal="center"/>
    </xf>
    <xf numFmtId="168" fontId="18" fillId="0" borderId="0" xfId="15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vertical="center"/>
    </xf>
    <xf numFmtId="168" fontId="16" fillId="0" borderId="0" xfId="15" applyNumberFormat="1" applyFont="1" applyAlignment="1">
      <alignment vertical="center"/>
    </xf>
    <xf numFmtId="43" fontId="5" fillId="0" borderId="0" xfId="15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168" fontId="6" fillId="0" borderId="3" xfId="15" applyNumberFormat="1" applyFont="1" applyBorder="1" applyAlignment="1">
      <alignment horizontal="left" vertical="top" wrapText="1"/>
    </xf>
    <xf numFmtId="43" fontId="24" fillId="0" borderId="3" xfId="15" applyFont="1" applyBorder="1" applyAlignment="1">
      <alignment horizontal="center" vertical="top" wrapText="1"/>
    </xf>
    <xf numFmtId="43" fontId="6" fillId="0" borderId="3" xfId="15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3" fontId="21" fillId="0" borderId="0" xfId="15" applyFont="1" applyBorder="1" applyAlignment="1">
      <alignment horizontal="center" vertical="top" wrapText="1"/>
    </xf>
    <xf numFmtId="43" fontId="21" fillId="0" borderId="12" xfId="15" applyFont="1" applyBorder="1" applyAlignment="1">
      <alignment horizontal="center" vertical="top" wrapText="1"/>
    </xf>
    <xf numFmtId="43" fontId="5" fillId="0" borderId="12" xfId="15" applyFont="1" applyFill="1" applyBorder="1" applyAlignment="1">
      <alignment horizontal="center" vertical="top" wrapText="1"/>
    </xf>
    <xf numFmtId="43" fontId="4" fillId="0" borderId="13" xfId="15" applyFont="1" applyFill="1" applyBorder="1" applyAlignment="1">
      <alignment horizontal="center" vertical="top" wrapText="1"/>
    </xf>
    <xf numFmtId="43" fontId="23" fillId="0" borderId="0" xfId="15" applyFont="1" applyBorder="1" applyAlignment="1">
      <alignment horizontal="center" vertical="top" wrapText="1"/>
    </xf>
    <xf numFmtId="43" fontId="22" fillId="0" borderId="13" xfId="15" applyFont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top" wrapText="1"/>
    </xf>
    <xf numFmtId="168" fontId="5" fillId="3" borderId="6" xfId="15" applyNumberFormat="1" applyFont="1" applyFill="1" applyBorder="1" applyAlignment="1">
      <alignment horizontal="left" vertical="top" wrapText="1"/>
    </xf>
    <xf numFmtId="43" fontId="21" fillId="3" borderId="6" xfId="15" applyFont="1" applyFill="1" applyBorder="1" applyAlignment="1">
      <alignment horizontal="center" vertical="top" wrapText="1"/>
    </xf>
    <xf numFmtId="43" fontId="5" fillId="3" borderId="7" xfId="15" applyFont="1" applyFill="1" applyBorder="1" applyAlignment="1">
      <alignment horizontal="center" vertical="top" wrapText="1"/>
    </xf>
    <xf numFmtId="43" fontId="5" fillId="3" borderId="6" xfId="15" applyFont="1" applyFill="1" applyBorder="1" applyAlignment="1">
      <alignment horizontal="center" vertical="top" wrapText="1"/>
    </xf>
    <xf numFmtId="49" fontId="5" fillId="3" borderId="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 vertical="top" wrapText="1"/>
    </xf>
    <xf numFmtId="168" fontId="5" fillId="3" borderId="0" xfId="15" applyNumberFormat="1" applyFont="1" applyFill="1" applyBorder="1" applyAlignment="1">
      <alignment horizontal="left" vertical="top" wrapText="1"/>
    </xf>
    <xf numFmtId="43" fontId="21" fillId="3" borderId="0" xfId="15" applyFont="1" applyFill="1" applyBorder="1" applyAlignment="1">
      <alignment horizontal="center" vertical="top" wrapText="1"/>
    </xf>
    <xf numFmtId="43" fontId="5" fillId="3" borderId="0" xfId="15" applyFont="1" applyFill="1" applyBorder="1" applyAlignment="1">
      <alignment horizontal="center" vertical="top" wrapText="1"/>
    </xf>
    <xf numFmtId="43" fontId="5" fillId="3" borderId="5" xfId="15" applyFont="1" applyFill="1" applyBorder="1" applyAlignment="1">
      <alignment horizontal="center" vertical="top" wrapText="1"/>
    </xf>
    <xf numFmtId="168" fontId="5" fillId="3" borderId="5" xfId="15" applyNumberFormat="1" applyFont="1" applyFill="1" applyBorder="1" applyAlignment="1">
      <alignment horizontal="left" vertical="top" wrapText="1"/>
    </xf>
    <xf numFmtId="168" fontId="5" fillId="3" borderId="3" xfId="15" applyNumberFormat="1" applyFont="1" applyFill="1" applyBorder="1" applyAlignment="1">
      <alignment horizontal="left" vertical="top" wrapText="1"/>
    </xf>
    <xf numFmtId="43" fontId="21" fillId="3" borderId="3" xfId="15" applyFont="1" applyFill="1" applyBorder="1" applyAlignment="1">
      <alignment horizontal="center" vertical="top" wrapText="1"/>
    </xf>
    <xf numFmtId="43" fontId="5" fillId="3" borderId="3" xfId="15" applyFont="1" applyFill="1" applyBorder="1" applyAlignment="1">
      <alignment horizontal="center" vertical="top" wrapText="1"/>
    </xf>
    <xf numFmtId="168" fontId="5" fillId="3" borderId="12" xfId="15" applyNumberFormat="1" applyFont="1" applyFill="1" applyBorder="1" applyAlignment="1">
      <alignment horizontal="left" vertical="top" wrapText="1"/>
    </xf>
    <xf numFmtId="168" fontId="5" fillId="3" borderId="7" xfId="15" applyNumberFormat="1" applyFont="1" applyFill="1" applyBorder="1" applyAlignment="1">
      <alignment horizontal="left" vertical="top" wrapText="1"/>
    </xf>
    <xf numFmtId="43" fontId="21" fillId="3" borderId="12" xfId="15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left" vertical="top" wrapText="1"/>
    </xf>
    <xf numFmtId="168" fontId="7" fillId="3" borderId="3" xfId="15" applyNumberFormat="1" applyFont="1" applyFill="1" applyBorder="1" applyAlignment="1">
      <alignment horizontal="left" vertical="top" wrapText="1"/>
    </xf>
    <xf numFmtId="43" fontId="23" fillId="3" borderId="3" xfId="15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left"/>
    </xf>
    <xf numFmtId="43" fontId="5" fillId="0" borderId="5" xfId="15" applyFont="1" applyFill="1" applyBorder="1" applyAlignment="1">
      <alignment horizontal="center" vertical="top"/>
    </xf>
    <xf numFmtId="43" fontId="5" fillId="0" borderId="0" xfId="15" applyFont="1" applyAlignment="1">
      <alignment horizontal="center" vertical="top" wrapText="1"/>
    </xf>
    <xf numFmtId="43" fontId="4" fillId="0" borderId="5" xfId="15" applyFont="1" applyFill="1" applyBorder="1" applyAlignment="1">
      <alignment vertical="top"/>
    </xf>
    <xf numFmtId="43" fontId="4" fillId="0" borderId="4" xfId="15" applyFont="1" applyFill="1" applyBorder="1" applyAlignment="1">
      <alignment vertical="top"/>
    </xf>
    <xf numFmtId="43" fontId="4" fillId="0" borderId="4" xfId="15" applyFont="1" applyBorder="1" applyAlignment="1">
      <alignment vertical="top" wrapText="1"/>
    </xf>
    <xf numFmtId="43" fontId="5" fillId="0" borderId="6" xfId="15" applyFont="1" applyBorder="1" applyAlignment="1">
      <alignment vertical="top" wrapText="1"/>
    </xf>
    <xf numFmtId="43" fontId="4" fillId="0" borderId="3" xfId="15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3" fontId="4" fillId="2" borderId="0" xfId="15" applyFont="1" applyFill="1" applyBorder="1" applyAlignment="1">
      <alignment vertical="top"/>
    </xf>
    <xf numFmtId="43" fontId="4" fillId="0" borderId="0" xfId="15" applyFont="1" applyFill="1" applyBorder="1" applyAlignment="1">
      <alignment vertical="top"/>
    </xf>
    <xf numFmtId="43" fontId="4" fillId="0" borderId="0" xfId="15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top" wrapText="1"/>
    </xf>
    <xf numFmtId="43" fontId="5" fillId="0" borderId="5" xfId="15" applyFont="1" applyBorder="1" applyAlignment="1">
      <alignment horizontal="center" vertical="top" wrapText="1"/>
    </xf>
    <xf numFmtId="43" fontId="5" fillId="0" borderId="7" xfId="15" applyFont="1" applyBorder="1" applyAlignment="1">
      <alignment horizontal="center" vertical="top" wrapText="1"/>
    </xf>
    <xf numFmtId="43" fontId="5" fillId="0" borderId="7" xfId="15" applyFont="1" applyFill="1" applyBorder="1" applyAlignment="1">
      <alignment vertical="top" wrapText="1"/>
    </xf>
    <xf numFmtId="43" fontId="5" fillId="0" borderId="5" xfId="15" applyFont="1" applyFill="1" applyBorder="1" applyAlignment="1">
      <alignment vertical="top" wrapText="1"/>
    </xf>
    <xf numFmtId="43" fontId="4" fillId="2" borderId="21" xfId="15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vertical="top" wrapText="1"/>
    </xf>
    <xf numFmtId="43" fontId="5" fillId="0" borderId="6" xfId="15" applyFont="1" applyFill="1" applyBorder="1" applyAlignment="1">
      <alignment horizontal="center"/>
    </xf>
    <xf numFmtId="43" fontId="4" fillId="0" borderId="5" xfId="15" applyNumberFormat="1" applyFont="1" applyFill="1" applyBorder="1" applyAlignment="1">
      <alignment vertical="top" wrapText="1"/>
    </xf>
    <xf numFmtId="43" fontId="4" fillId="0" borderId="0" xfId="15" applyFont="1" applyAlignment="1">
      <alignment horizontal="center" vertical="top" wrapText="1"/>
    </xf>
    <xf numFmtId="43" fontId="5" fillId="0" borderId="25" xfId="15" applyFont="1" applyBorder="1" applyAlignment="1">
      <alignment horizontal="center"/>
    </xf>
    <xf numFmtId="0" fontId="5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168" fontId="5" fillId="0" borderId="4" xfId="15" applyNumberFormat="1" applyFont="1" applyFill="1" applyBorder="1" applyAlignment="1">
      <alignment/>
    </xf>
    <xf numFmtId="0" fontId="28" fillId="0" borderId="1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/>
    </xf>
    <xf numFmtId="43" fontId="5" fillId="0" borderId="1" xfId="15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top" wrapText="1"/>
    </xf>
    <xf numFmtId="49" fontId="14" fillId="0" borderId="21" xfId="0" applyNumberFormat="1" applyFont="1" applyBorder="1" applyAlignment="1">
      <alignment horizontal="center" vertical="top" wrapText="1"/>
    </xf>
    <xf numFmtId="43" fontId="5" fillId="0" borderId="1" xfId="15" applyFont="1" applyFill="1" applyBorder="1" applyAlignment="1">
      <alignment horizontal="center" vertical="top"/>
    </xf>
    <xf numFmtId="0" fontId="30" fillId="0" borderId="1" xfId="0" applyFont="1" applyBorder="1" applyAlignment="1">
      <alignment horizontal="center" vertical="top" wrapText="1"/>
    </xf>
    <xf numFmtId="43" fontId="5" fillId="0" borderId="1" xfId="0" applyNumberFormat="1" applyFont="1" applyBorder="1" applyAlignment="1">
      <alignment horizontal="center" vertical="top" wrapText="1"/>
    </xf>
    <xf numFmtId="43" fontId="15" fillId="0" borderId="1" xfId="0" applyNumberFormat="1" applyFont="1" applyBorder="1" applyAlignment="1">
      <alignment horizontal="center" vertical="top" wrapText="1"/>
    </xf>
    <xf numFmtId="43" fontId="4" fillId="0" borderId="1" xfId="15" applyFont="1" applyBorder="1" applyAlignment="1">
      <alignment horizontal="center" vertical="top" wrapText="1"/>
    </xf>
    <xf numFmtId="43" fontId="15" fillId="2" borderId="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7" xfId="0" applyFont="1" applyFill="1" applyBorder="1" applyAlignment="1">
      <alignment wrapText="1"/>
    </xf>
    <xf numFmtId="0" fontId="29" fillId="0" borderId="1" xfId="0" applyFont="1" applyBorder="1" applyAlignment="1">
      <alignment horizontal="center" vertical="top" wrapText="1"/>
    </xf>
    <xf numFmtId="43" fontId="26" fillId="0" borderId="4" xfId="15" applyFont="1" applyFill="1" applyBorder="1" applyAlignment="1">
      <alignment vertical="center" wrapText="1"/>
    </xf>
    <xf numFmtId="43" fontId="26" fillId="0" borderId="8" xfId="15" applyFont="1" applyFill="1" applyBorder="1" applyAlignment="1">
      <alignment vertical="center" wrapText="1"/>
    </xf>
    <xf numFmtId="43" fontId="16" fillId="0" borderId="7" xfId="15" applyFont="1" applyFill="1" applyBorder="1" applyAlignment="1">
      <alignment vertical="center" wrapText="1"/>
    </xf>
    <xf numFmtId="43" fontId="16" fillId="0" borderId="6" xfId="15" applyFont="1" applyFill="1" applyBorder="1" applyAlignment="1">
      <alignment vertical="center" wrapText="1"/>
    </xf>
    <xf numFmtId="43" fontId="15" fillId="0" borderId="0" xfId="15" applyFont="1" applyBorder="1" applyAlignment="1">
      <alignment vertical="center" wrapText="1"/>
    </xf>
    <xf numFmtId="43" fontId="16" fillId="0" borderId="4" xfId="15" applyFont="1" applyBorder="1" applyAlignment="1">
      <alignment vertical="center"/>
    </xf>
    <xf numFmtId="43" fontId="16" fillId="0" borderId="7" xfId="15" applyFont="1" applyBorder="1" applyAlignment="1">
      <alignment vertical="center"/>
    </xf>
    <xf numFmtId="43" fontId="26" fillId="0" borderId="4" xfId="15" applyFont="1" applyBorder="1" applyAlignment="1">
      <alignment vertical="center"/>
    </xf>
    <xf numFmtId="43" fontId="26" fillId="0" borderId="4" xfId="15" applyFont="1" applyFill="1" applyBorder="1" applyAlignment="1">
      <alignment vertical="center"/>
    </xf>
    <xf numFmtId="43" fontId="26" fillId="0" borderId="8" xfId="15" applyFont="1" applyBorder="1" applyAlignment="1">
      <alignment vertical="center"/>
    </xf>
    <xf numFmtId="43" fontId="16" fillId="0" borderId="6" xfId="15" applyFont="1" applyBorder="1" applyAlignment="1">
      <alignment vertical="center"/>
    </xf>
    <xf numFmtId="43" fontId="26" fillId="0" borderId="3" xfId="15" applyFont="1" applyBorder="1" applyAlignment="1">
      <alignment vertical="center"/>
    </xf>
    <xf numFmtId="43" fontId="15" fillId="0" borderId="0" xfId="15" applyFont="1" applyBorder="1" applyAlignment="1">
      <alignment vertical="center"/>
    </xf>
    <xf numFmtId="168" fontId="25" fillId="2" borderId="4" xfId="15" applyNumberFormat="1" applyFont="1" applyFill="1" applyBorder="1" applyAlignment="1">
      <alignment vertical="center" wrapText="1"/>
    </xf>
    <xf numFmtId="43" fontId="33" fillId="2" borderId="4" xfId="15" applyFont="1" applyFill="1" applyBorder="1" applyAlignment="1">
      <alignment vertical="center" wrapText="1"/>
    </xf>
    <xf numFmtId="43" fontId="19" fillId="2" borderId="7" xfId="15" applyFont="1" applyFill="1" applyBorder="1" applyAlignment="1">
      <alignment vertical="center" wrapText="1"/>
    </xf>
    <xf numFmtId="43" fontId="19" fillId="0" borderId="0" xfId="15" applyFont="1" applyBorder="1" applyAlignment="1">
      <alignment vertical="center"/>
    </xf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/>
      <protection/>
    </xf>
    <xf numFmtId="0" fontId="5" fillId="0" borderId="0" xfId="18" applyFont="1" applyAlignment="1">
      <alignment horizontal="center"/>
      <protection/>
    </xf>
    <xf numFmtId="168" fontId="18" fillId="2" borderId="1" xfId="15" applyNumberFormat="1" applyFont="1" applyFill="1" applyBorder="1" applyAlignment="1">
      <alignment vertical="center" wrapText="1"/>
    </xf>
    <xf numFmtId="43" fontId="18" fillId="0" borderId="1" xfId="15" applyFont="1" applyBorder="1" applyAlignment="1">
      <alignment/>
    </xf>
    <xf numFmtId="43" fontId="18" fillId="0" borderId="1" xfId="15" applyFont="1" applyFill="1" applyBorder="1" applyAlignment="1">
      <alignment/>
    </xf>
    <xf numFmtId="0" fontId="18" fillId="2" borderId="4" xfId="0" applyFont="1" applyFill="1" applyBorder="1" applyAlignment="1">
      <alignment vertical="center" wrapText="1"/>
    </xf>
    <xf numFmtId="43" fontId="18" fillId="2" borderId="1" xfId="15" applyFont="1" applyFill="1" applyBorder="1" applyAlignment="1">
      <alignment/>
    </xf>
    <xf numFmtId="0" fontId="18" fillId="2" borderId="7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43" fontId="18" fillId="2" borderId="1" xfId="15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43" fontId="19" fillId="2" borderId="1" xfId="15" applyFont="1" applyFill="1" applyBorder="1" applyAlignment="1">
      <alignment vertical="center"/>
    </xf>
    <xf numFmtId="0" fontId="18" fillId="0" borderId="1" xfId="0" applyFont="1" applyBorder="1" applyAlignment="1">
      <alignment/>
    </xf>
    <xf numFmtId="43" fontId="19" fillId="2" borderId="1" xfId="15" applyFont="1" applyFill="1" applyBorder="1" applyAlignment="1">
      <alignment/>
    </xf>
    <xf numFmtId="0" fontId="18" fillId="2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43" fontId="15" fillId="0" borderId="1" xfId="15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1" xfId="0" applyFont="1" applyBorder="1" applyAlignment="1">
      <alignment wrapText="1"/>
    </xf>
    <xf numFmtId="43" fontId="16" fillId="0" borderId="1" xfId="15" applyFont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horizontal="left"/>
    </xf>
    <xf numFmtId="43" fontId="16" fillId="0" borderId="1" xfId="15" applyFont="1" applyBorder="1" applyAlignment="1">
      <alignment vertical="center" wrapText="1"/>
    </xf>
    <xf numFmtId="43" fontId="16" fillId="0" borderId="1" xfId="15" applyFont="1" applyBorder="1" applyAlignment="1">
      <alignment horizontal="center"/>
    </xf>
    <xf numFmtId="168" fontId="15" fillId="0" borderId="0" xfId="15" applyNumberFormat="1" applyFont="1" applyAlignment="1">
      <alignment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43" fontId="15" fillId="0" borderId="1" xfId="15" applyFont="1" applyBorder="1" applyAlignment="1">
      <alignment vertical="top" wrapText="1"/>
    </xf>
    <xf numFmtId="0" fontId="15" fillId="0" borderId="1" xfId="0" applyFont="1" applyBorder="1" applyAlignment="1">
      <alignment horizontal="left"/>
    </xf>
    <xf numFmtId="43" fontId="15" fillId="0" borderId="1" xfId="15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167" fontId="15" fillId="0" borderId="1" xfId="15" applyNumberFormat="1" applyFont="1" applyBorder="1" applyAlignment="1">
      <alignment vertical="top" wrapText="1"/>
    </xf>
    <xf numFmtId="43" fontId="18" fillId="0" borderId="0" xfId="0" applyNumberFormat="1" applyFont="1" applyAlignment="1">
      <alignment/>
    </xf>
    <xf numFmtId="0" fontId="16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/>
    </xf>
    <xf numFmtId="43" fontId="16" fillId="4" borderId="1" xfId="15" applyFont="1" applyFill="1" applyBorder="1" applyAlignment="1">
      <alignment/>
    </xf>
    <xf numFmtId="170" fontId="16" fillId="4" borderId="1" xfId="15" applyNumberFormat="1" applyFont="1" applyFill="1" applyBorder="1" applyAlignment="1">
      <alignment/>
    </xf>
    <xf numFmtId="0" fontId="16" fillId="4" borderId="1" xfId="0" applyFont="1" applyFill="1" applyBorder="1" applyAlignment="1">
      <alignment horizontal="center"/>
    </xf>
    <xf numFmtId="43" fontId="16" fillId="4" borderId="1" xfId="0" applyNumberFormat="1" applyFont="1" applyFill="1" applyBorder="1" applyAlignment="1">
      <alignment/>
    </xf>
    <xf numFmtId="0" fontId="15" fillId="4" borderId="1" xfId="0" applyFont="1" applyFill="1" applyBorder="1" applyAlignment="1">
      <alignment/>
    </xf>
    <xf numFmtId="43" fontId="15" fillId="4" borderId="1" xfId="15" applyFont="1" applyFill="1" applyBorder="1" applyAlignment="1">
      <alignment/>
    </xf>
    <xf numFmtId="170" fontId="15" fillId="4" borderId="1" xfId="0" applyNumberFormat="1" applyFont="1" applyFill="1" applyBorder="1" applyAlignment="1">
      <alignment/>
    </xf>
    <xf numFmtId="0" fontId="15" fillId="4" borderId="1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43" fontId="9" fillId="0" borderId="0" xfId="0" applyNumberFormat="1" applyFont="1" applyFill="1" applyAlignment="1">
      <alignment/>
    </xf>
    <xf numFmtId="43" fontId="4" fillId="2" borderId="21" xfId="15" applyFont="1" applyFill="1" applyBorder="1" applyAlignment="1">
      <alignment horizontal="center" vertical="top" wrapText="1"/>
    </xf>
    <xf numFmtId="43" fontId="4" fillId="2" borderId="1" xfId="15" applyFont="1" applyFill="1" applyBorder="1" applyAlignment="1">
      <alignment vertical="top"/>
    </xf>
    <xf numFmtId="43" fontId="5" fillId="0" borderId="1" xfId="15" applyFont="1" applyFill="1" applyBorder="1" applyAlignment="1">
      <alignment vertical="top" wrapText="1"/>
    </xf>
    <xf numFmtId="168" fontId="5" fillId="0" borderId="1" xfId="15" applyNumberFormat="1" applyFont="1" applyBorder="1" applyAlignment="1">
      <alignment horizontal="center" vertical="top" wrapText="1"/>
    </xf>
    <xf numFmtId="43" fontId="5" fillId="0" borderId="1" xfId="15" applyFont="1" applyBorder="1" applyAlignment="1">
      <alignment horizontal="right" vertical="top" wrapText="1"/>
    </xf>
    <xf numFmtId="168" fontId="5" fillId="0" borderId="1" xfId="15" applyNumberFormat="1" applyFont="1" applyFill="1" applyBorder="1" applyAlignment="1">
      <alignment horizontal="right" vertical="top" wrapText="1"/>
    </xf>
    <xf numFmtId="168" fontId="5" fillId="0" borderId="1" xfId="15" applyNumberFormat="1" applyFont="1" applyBorder="1" applyAlignment="1">
      <alignment horizontal="left" vertical="top" wrapText="1"/>
    </xf>
    <xf numFmtId="43" fontId="5" fillId="0" borderId="1" xfId="15" applyFont="1" applyFill="1" applyBorder="1" applyAlignment="1">
      <alignment horizontal="right" vertical="top" wrapText="1"/>
    </xf>
    <xf numFmtId="0" fontId="4" fillId="0" borderId="0" xfId="18" applyFont="1" applyBorder="1" applyAlignment="1">
      <alignment horizontal="center" wrapText="1"/>
      <protection/>
    </xf>
    <xf numFmtId="168" fontId="5" fillId="2" borderId="1" xfId="15" applyNumberFormat="1" applyFont="1" applyFill="1" applyBorder="1" applyAlignment="1">
      <alignment horizontal="center" vertical="center" wrapText="1"/>
    </xf>
    <xf numFmtId="43" fontId="5" fillId="0" borderId="1" xfId="15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18" fillId="0" borderId="1" xfId="0" applyFont="1" applyBorder="1" applyAlignment="1">
      <alignment horizontal="left" vertical="top" wrapText="1"/>
    </xf>
    <xf numFmtId="43" fontId="9" fillId="0" borderId="0" xfId="0" applyNumberFormat="1" applyFont="1" applyFill="1" applyAlignment="1">
      <alignment horizontal="left"/>
    </xf>
    <xf numFmtId="40" fontId="9" fillId="0" borderId="0" xfId="0" applyNumberFormat="1" applyFont="1" applyFill="1" applyAlignment="1">
      <alignment horizontal="center"/>
    </xf>
    <xf numFmtId="168" fontId="9" fillId="0" borderId="0" xfId="15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8" fontId="9" fillId="0" borderId="0" xfId="0" applyNumberFormat="1" applyFont="1" applyFill="1" applyAlignment="1">
      <alignment horizontal="center"/>
    </xf>
    <xf numFmtId="38" fontId="9" fillId="0" borderId="0" xfId="0" applyNumberFormat="1" applyFont="1" applyFill="1" applyAlignment="1">
      <alignment horizontal="right"/>
    </xf>
    <xf numFmtId="38" fontId="10" fillId="0" borderId="0" xfId="0" applyNumberFormat="1" applyFont="1" applyFill="1" applyAlignment="1">
      <alignment horizontal="right"/>
    </xf>
    <xf numFmtId="38" fontId="9" fillId="0" borderId="0" xfId="15" applyNumberFormat="1" applyFont="1" applyFill="1" applyAlignment="1">
      <alignment horizontal="right"/>
    </xf>
    <xf numFmtId="43" fontId="10" fillId="0" borderId="0" xfId="0" applyNumberFormat="1" applyFont="1" applyFill="1" applyAlignment="1">
      <alignment/>
    </xf>
    <xf numFmtId="38" fontId="10" fillId="0" borderId="0" xfId="0" applyNumberFormat="1" applyFont="1" applyFill="1" applyAlignment="1">
      <alignment horizontal="right"/>
    </xf>
    <xf numFmtId="168" fontId="10" fillId="0" borderId="0" xfId="15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38" fontId="10" fillId="0" borderId="0" xfId="15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/>
    </xf>
    <xf numFmtId="43" fontId="10" fillId="0" borderId="0" xfId="0" applyNumberFormat="1" applyFont="1" applyFill="1" applyAlignment="1">
      <alignment horizontal="left"/>
    </xf>
    <xf numFmtId="168" fontId="10" fillId="0" borderId="0" xfId="15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68" fontId="9" fillId="0" borderId="0" xfId="15" applyNumberFormat="1" applyFont="1" applyFill="1" applyAlignment="1">
      <alignment horizontal="right"/>
    </xf>
    <xf numFmtId="168" fontId="9" fillId="0" borderId="0" xfId="15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38" fontId="9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/>
    </xf>
    <xf numFmtId="43" fontId="9" fillId="0" borderId="0" xfId="0" applyNumberFormat="1" applyFont="1" applyFill="1" applyAlignment="1">
      <alignment horizontal="left"/>
    </xf>
    <xf numFmtId="38" fontId="9" fillId="0" borderId="0" xfId="15" applyNumberFormat="1" applyFont="1" applyFill="1" applyAlignment="1">
      <alignment horizontal="right"/>
    </xf>
    <xf numFmtId="4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43" fontId="9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8" fontId="10" fillId="0" borderId="0" xfId="15" applyNumberFormat="1" applyFont="1" applyFill="1" applyAlignment="1">
      <alignment horizontal="center"/>
    </xf>
    <xf numFmtId="168" fontId="10" fillId="0" borderId="0" xfId="0" applyNumberFormat="1" applyFont="1" applyAlignment="1">
      <alignment/>
    </xf>
    <xf numFmtId="168" fontId="9" fillId="0" borderId="0" xfId="15" applyNumberFormat="1" applyFont="1" applyFill="1" applyAlignment="1">
      <alignment/>
    </xf>
    <xf numFmtId="43" fontId="10" fillId="0" borderId="0" xfId="0" applyNumberFormat="1" applyFont="1" applyFill="1" applyAlignment="1">
      <alignment horizontal="center"/>
    </xf>
    <xf numFmtId="43" fontId="9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8" fontId="9" fillId="0" borderId="0" xfId="15" applyNumberFormat="1" applyFont="1" applyFill="1" applyAlignment="1">
      <alignment horizontal="left"/>
    </xf>
    <xf numFmtId="38" fontId="9" fillId="0" borderId="0" xfId="0" applyNumberFormat="1" applyFont="1" applyFill="1" applyAlignment="1">
      <alignment horizontal="left"/>
    </xf>
    <xf numFmtId="38" fontId="10" fillId="0" borderId="0" xfId="15" applyNumberFormat="1" applyFont="1" applyFill="1" applyAlignment="1">
      <alignment horizontal="left"/>
    </xf>
    <xf numFmtId="168" fontId="16" fillId="0" borderId="0" xfId="15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top" wrapText="1"/>
    </xf>
    <xf numFmtId="43" fontId="5" fillId="0" borderId="1" xfId="15" applyFont="1" applyFill="1" applyBorder="1" applyAlignment="1">
      <alignment horizontal="center" vertical="top" wrapText="1"/>
    </xf>
    <xf numFmtId="43" fontId="5" fillId="0" borderId="7" xfId="15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3" fontId="5" fillId="0" borderId="4" xfId="15" applyFont="1" applyFill="1" applyBorder="1" applyAlignment="1">
      <alignment horizontal="center" vertical="top" wrapText="1"/>
    </xf>
    <xf numFmtId="43" fontId="5" fillId="0" borderId="5" xfId="15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8" fontId="5" fillId="0" borderId="0" xfId="15" applyNumberFormat="1" applyFont="1" applyAlignment="1">
      <alignment horizontal="right" vertical="justify"/>
    </xf>
    <xf numFmtId="0" fontId="13" fillId="0" borderId="0" xfId="0" applyFont="1" applyAlignment="1">
      <alignment horizontal="left" vertical="center"/>
    </xf>
    <xf numFmtId="0" fontId="31" fillId="2" borderId="21" xfId="0" applyFont="1" applyFill="1" applyBorder="1" applyAlignment="1">
      <alignment horizontal="center" vertical="top" wrapText="1"/>
    </xf>
    <xf numFmtId="0" fontId="31" fillId="2" borderId="26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27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8" fontId="15" fillId="2" borderId="4" xfId="15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168" fontId="15" fillId="2" borderId="1" xfId="15" applyNumberFormat="1" applyFont="1" applyFill="1" applyBorder="1" applyAlignment="1">
      <alignment horizontal="center" vertical="center" wrapText="1"/>
    </xf>
    <xf numFmtId="168" fontId="16" fillId="2" borderId="4" xfId="15" applyNumberFormat="1" applyFont="1" applyFill="1" applyBorder="1" applyAlignment="1">
      <alignment horizontal="center" vertical="center" wrapText="1"/>
    </xf>
    <xf numFmtId="168" fontId="16" fillId="2" borderId="7" xfId="15" applyNumberFormat="1" applyFont="1" applyFill="1" applyBorder="1" applyAlignment="1">
      <alignment horizontal="center" vertical="center" wrapText="1"/>
    </xf>
    <xf numFmtId="168" fontId="15" fillId="2" borderId="7" xfId="15" applyNumberFormat="1" applyFont="1" applyFill="1" applyBorder="1" applyAlignment="1">
      <alignment horizontal="center" vertical="center" wrapText="1"/>
    </xf>
    <xf numFmtId="168" fontId="15" fillId="2" borderId="8" xfId="15" applyNumberFormat="1" applyFont="1" applyFill="1" applyBorder="1" applyAlignment="1">
      <alignment horizontal="center" vertical="center" wrapText="1"/>
    </xf>
    <xf numFmtId="168" fontId="15" fillId="2" borderId="6" xfId="15" applyNumberFormat="1" applyFont="1" applyFill="1" applyBorder="1" applyAlignment="1">
      <alignment horizontal="center" vertical="center" wrapText="1"/>
    </xf>
    <xf numFmtId="168" fontId="4" fillId="2" borderId="4" xfId="15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168" fontId="16" fillId="0" borderId="4" xfId="15" applyNumberFormat="1" applyFont="1" applyBorder="1" applyAlignment="1">
      <alignment horizontal="center" vertical="center" wrapText="1"/>
    </xf>
    <xf numFmtId="168" fontId="16" fillId="0" borderId="7" xfId="15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8" fontId="5" fillId="0" borderId="4" xfId="15" applyNumberFormat="1" applyFont="1" applyBorder="1" applyAlignment="1">
      <alignment horizontal="center" vertical="top" wrapText="1"/>
    </xf>
    <xf numFmtId="168" fontId="5" fillId="0" borderId="4" xfId="15" applyNumberFormat="1" applyFont="1" applyBorder="1" applyAlignment="1">
      <alignment horizontal="center" vertical="center" wrapText="1"/>
    </xf>
    <xf numFmtId="43" fontId="15" fillId="0" borderId="4" xfId="15" applyFont="1" applyBorder="1" applyAlignment="1">
      <alignment horizontal="center" vertical="top" wrapText="1"/>
    </xf>
    <xf numFmtId="43" fontId="32" fillId="0" borderId="7" xfId="15" applyFont="1" applyBorder="1" applyAlignment="1">
      <alignment/>
    </xf>
    <xf numFmtId="0" fontId="16" fillId="0" borderId="4" xfId="0" applyFont="1" applyBorder="1" applyAlignment="1">
      <alignment horizontal="center" vertical="center" wrapText="1"/>
    </xf>
    <xf numFmtId="168" fontId="16" fillId="0" borderId="21" xfId="15" applyNumberFormat="1" applyFont="1" applyBorder="1" applyAlignment="1">
      <alignment horizontal="center" vertical="center" wrapText="1"/>
    </xf>
    <xf numFmtId="168" fontId="16" fillId="0" borderId="26" xfId="15" applyNumberFormat="1" applyFont="1" applyBorder="1" applyAlignment="1">
      <alignment horizontal="center" vertical="center" wrapText="1"/>
    </xf>
    <xf numFmtId="168" fontId="16" fillId="0" borderId="2" xfId="15" applyNumberFormat="1" applyFont="1" applyBorder="1" applyAlignment="1">
      <alignment horizontal="center" vertical="center" wrapText="1"/>
    </xf>
    <xf numFmtId="168" fontId="16" fillId="0" borderId="1" xfId="15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168" fontId="4" fillId="0" borderId="4" xfId="15" applyNumberFormat="1" applyFont="1" applyBorder="1" applyAlignment="1">
      <alignment vertical="top"/>
    </xf>
    <xf numFmtId="168" fontId="4" fillId="0" borderId="4" xfId="15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8" fontId="16" fillId="0" borderId="4" xfId="15" applyNumberFormat="1" applyFont="1" applyFill="1" applyBorder="1" applyAlignment="1">
      <alignment horizontal="center" vertical="center" wrapText="1"/>
    </xf>
    <xf numFmtId="168" fontId="16" fillId="0" borderId="7" xfId="15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168" fontId="5" fillId="0" borderId="4" xfId="15" applyNumberFormat="1" applyFont="1" applyFill="1" applyBorder="1" applyAlignment="1">
      <alignment horizontal="center" vertical="top" wrapText="1"/>
    </xf>
    <xf numFmtId="168" fontId="5" fillId="0" borderId="4" xfId="15" applyNumberFormat="1" applyFont="1" applyFill="1" applyBorder="1" applyAlignment="1">
      <alignment horizontal="center" vertical="center" wrapText="1"/>
    </xf>
    <xf numFmtId="168" fontId="4" fillId="0" borderId="4" xfId="15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68" fontId="5" fillId="0" borderId="7" xfId="15" applyNumberFormat="1" applyFont="1" applyBorder="1" applyAlignment="1">
      <alignment horizontal="center" vertical="top" wrapText="1"/>
    </xf>
    <xf numFmtId="168" fontId="0" fillId="0" borderId="7" xfId="15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4" fillId="2" borderId="21" xfId="18" applyFont="1" applyFill="1" applyBorder="1" applyAlignment="1">
      <alignment horizontal="center" wrapText="1"/>
      <protection/>
    </xf>
    <xf numFmtId="0" fontId="4" fillId="2" borderId="26" xfId="18" applyFont="1" applyFill="1" applyBorder="1" applyAlignment="1">
      <alignment horizontal="center" wrapText="1"/>
      <protection/>
    </xf>
    <xf numFmtId="0" fontId="4" fillId="2" borderId="2" xfId="18" applyFont="1" applyFill="1" applyBorder="1" applyAlignment="1">
      <alignment horizontal="center" wrapText="1"/>
      <protection/>
    </xf>
    <xf numFmtId="168" fontId="5" fillId="2" borderId="1" xfId="1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18" applyFont="1" applyBorder="1" applyAlignment="1">
      <alignment horizontal="center" wrapText="1"/>
      <protection/>
    </xf>
    <xf numFmtId="168" fontId="18" fillId="2" borderId="1" xfId="15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/>
    </xf>
    <xf numFmtId="43" fontId="4" fillId="2" borderId="8" xfId="15" applyFont="1" applyFill="1" applyBorder="1" applyAlignment="1">
      <alignment horizontal="center" vertical="top" wrapText="1"/>
    </xf>
    <xf numFmtId="43" fontId="4" fillId="2" borderId="3" xfId="15" applyFont="1" applyFill="1" applyBorder="1" applyAlignment="1">
      <alignment horizontal="center" vertical="top" wrapText="1"/>
    </xf>
    <xf numFmtId="43" fontId="4" fillId="2" borderId="6" xfId="15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8" fontId="19" fillId="2" borderId="4" xfId="15" applyNumberFormat="1" applyFont="1" applyFill="1" applyBorder="1" applyAlignment="1">
      <alignment/>
    </xf>
    <xf numFmtId="168" fontId="19" fillId="2" borderId="7" xfId="15" applyNumberFormat="1" applyFont="1" applyFill="1" applyBorder="1" applyAlignment="1">
      <alignment/>
    </xf>
    <xf numFmtId="43" fontId="19" fillId="2" borderId="4" xfId="15" applyFont="1" applyFill="1" applyBorder="1" applyAlignment="1">
      <alignment/>
    </xf>
    <xf numFmtId="43" fontId="19" fillId="2" borderId="7" xfId="15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8" fillId="2" borderId="4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43" fontId="19" fillId="2" borderId="2" xfId="15" applyFont="1" applyFill="1" applyBorder="1" applyAlignment="1">
      <alignment/>
    </xf>
    <xf numFmtId="43" fontId="19" fillId="0" borderId="4" xfId="15" applyFont="1" applyFill="1" applyBorder="1" applyAlignment="1">
      <alignment/>
    </xf>
    <xf numFmtId="43" fontId="19" fillId="0" borderId="7" xfId="15" applyFont="1" applyFill="1" applyBorder="1" applyAlignment="1">
      <alignment/>
    </xf>
    <xf numFmtId="0" fontId="10" fillId="0" borderId="12" xfId="0" applyFont="1" applyBorder="1" applyAlignment="1">
      <alignment/>
    </xf>
    <xf numFmtId="0" fontId="19" fillId="2" borderId="4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3" fontId="5" fillId="0" borderId="1" xfId="15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workbookViewId="0" topLeftCell="A7">
      <selection activeCell="K21" sqref="K21"/>
    </sheetView>
  </sheetViews>
  <sheetFormatPr defaultColWidth="9.00390625" defaultRowHeight="12.75"/>
  <cols>
    <col min="1" max="1" width="19.375" style="3" customWidth="1"/>
    <col min="2" max="2" width="16.00390625" style="257" bestFit="1" customWidth="1"/>
    <col min="3" max="3" width="16.00390625" style="106" bestFit="1" customWidth="1"/>
    <col min="4" max="4" width="16.00390625" style="106" customWidth="1"/>
    <col min="5" max="5" width="15.00390625" style="106" customWidth="1"/>
    <col min="6" max="16384" width="9.125" style="3" customWidth="1"/>
  </cols>
  <sheetData>
    <row r="2" spans="2:5" ht="12.75">
      <c r="B2" s="264">
        <v>2006</v>
      </c>
      <c r="C2" s="265">
        <v>2007</v>
      </c>
      <c r="D2" s="264">
        <v>2008</v>
      </c>
      <c r="E2" s="265"/>
    </row>
    <row r="3" spans="1:5" ht="12.75">
      <c r="A3" s="198" t="s">
        <v>148</v>
      </c>
      <c r="B3" s="251">
        <v>31764890.45</v>
      </c>
      <c r="C3" s="251">
        <v>37808141.51</v>
      </c>
      <c r="D3" s="252" t="e">
        <f>#REF!</f>
        <v>#REF!</v>
      </c>
      <c r="E3" s="250" t="e">
        <f>D3-C3</f>
        <v>#REF!</v>
      </c>
    </row>
    <row r="4" spans="1:5" ht="12.75">
      <c r="A4" s="81" t="s">
        <v>120</v>
      </c>
      <c r="B4" s="253">
        <v>37512083</v>
      </c>
      <c r="C4" s="253">
        <v>39394696.33</v>
      </c>
      <c r="D4" s="254" t="e">
        <f>#REF!</f>
        <v>#REF!</v>
      </c>
      <c r="E4" s="250" t="e">
        <f aca="true" t="shared" si="0" ref="E4:E10">D4-C4</f>
        <v>#REF!</v>
      </c>
    </row>
    <row r="5" spans="1:5" ht="12.75">
      <c r="A5" s="81" t="s">
        <v>304</v>
      </c>
      <c r="B5" s="253">
        <v>-5747192.55</v>
      </c>
      <c r="C5" s="253">
        <v>-1586554.82</v>
      </c>
      <c r="D5" s="254" t="e">
        <f>D3-D4</f>
        <v>#REF!</v>
      </c>
      <c r="E5" s="250" t="e">
        <f t="shared" si="0"/>
        <v>#REF!</v>
      </c>
    </row>
    <row r="6" spans="1:5" ht="12.75">
      <c r="A6" s="81" t="s">
        <v>129</v>
      </c>
      <c r="B6" s="253">
        <v>7597393.98</v>
      </c>
      <c r="C6" s="253">
        <v>3656759.82</v>
      </c>
      <c r="D6" s="254" t="e">
        <f>#REF!</f>
        <v>#REF!</v>
      </c>
      <c r="E6" s="250" t="e">
        <f t="shared" si="0"/>
        <v>#REF!</v>
      </c>
    </row>
    <row r="7" spans="1:5" ht="12.75">
      <c r="A7" s="184" t="s">
        <v>305</v>
      </c>
      <c r="B7" s="255">
        <v>-1850201.43</v>
      </c>
      <c r="C7" s="255">
        <v>-2070205</v>
      </c>
      <c r="D7" s="256" t="e">
        <f>-#REF!</f>
        <v>#REF!</v>
      </c>
      <c r="E7" s="250" t="e">
        <f t="shared" si="0"/>
        <v>#REF!</v>
      </c>
    </row>
    <row r="9" spans="1:5" ht="12.75">
      <c r="A9" s="3" t="s">
        <v>63</v>
      </c>
      <c r="C9" s="257">
        <f>C4-C10</f>
        <v>33465378</v>
      </c>
      <c r="D9" s="266" t="e">
        <f>D4-D10</f>
        <v>#REF!</v>
      </c>
      <c r="E9" s="250" t="e">
        <f t="shared" si="0"/>
        <v>#REF!</v>
      </c>
    </row>
    <row r="10" spans="1:5" ht="12.75">
      <c r="A10" s="3" t="s">
        <v>379</v>
      </c>
      <c r="C10" s="257">
        <v>5929318.33</v>
      </c>
      <c r="D10" s="266" t="e">
        <f>#REF!</f>
        <v>#REF!</v>
      </c>
      <c r="E10" s="250" t="e">
        <f t="shared" si="0"/>
        <v>#REF!</v>
      </c>
    </row>
    <row r="12" spans="2:4" ht="12.75">
      <c r="B12" s="258">
        <v>2006</v>
      </c>
      <c r="C12" s="258">
        <v>2007</v>
      </c>
      <c r="D12" s="258">
        <v>2008</v>
      </c>
    </row>
    <row r="13" spans="1:5" ht="12.75">
      <c r="A13" s="196" t="s">
        <v>272</v>
      </c>
      <c r="B13" s="259">
        <f>B14+B15+B16</f>
        <v>13514423</v>
      </c>
      <c r="C13" s="259">
        <f>C14+C15+C16</f>
        <v>14528154</v>
      </c>
      <c r="D13" s="259" t="e">
        <f>D14+D15+D16</f>
        <v>#REF!</v>
      </c>
      <c r="E13" s="250" t="e">
        <f>D13-C13</f>
        <v>#REF!</v>
      </c>
    </row>
    <row r="14" spans="1:5" ht="12.75">
      <c r="A14" s="194" t="s">
        <v>60</v>
      </c>
      <c r="B14" s="260">
        <v>7966690</v>
      </c>
      <c r="C14" s="261">
        <f>'Dochody wg §'!H79</f>
        <v>8078301</v>
      </c>
      <c r="D14" s="261" t="e">
        <f>#REF!</f>
        <v>#REF!</v>
      </c>
      <c r="E14" s="250" t="e">
        <f>D14-C14</f>
        <v>#REF!</v>
      </c>
    </row>
    <row r="15" spans="1:5" ht="12.75">
      <c r="A15" s="194" t="s">
        <v>149</v>
      </c>
      <c r="B15" s="260">
        <v>4973768</v>
      </c>
      <c r="C15" s="261">
        <f>'Dochody wg §'!H81</f>
        <v>5773873</v>
      </c>
      <c r="D15" s="261" t="e">
        <f>#REF!</f>
        <v>#REF!</v>
      </c>
      <c r="E15" s="250" t="e">
        <f>D15-C15</f>
        <v>#REF!</v>
      </c>
    </row>
    <row r="16" spans="1:5" ht="12.75">
      <c r="A16" s="195" t="s">
        <v>220</v>
      </c>
      <c r="B16" s="262">
        <v>573965</v>
      </c>
      <c r="C16" s="263">
        <f>'Dochody wg §'!H83</f>
        <v>675980</v>
      </c>
      <c r="D16" s="263" t="e">
        <f>#REF!</f>
        <v>#REF!</v>
      </c>
      <c r="E16" s="250" t="e">
        <f>D16-C16</f>
        <v>#REF!</v>
      </c>
    </row>
    <row r="17" ht="12.75">
      <c r="A17" s="197"/>
    </row>
    <row r="20" spans="2:3" ht="12.75">
      <c r="B20" s="267" t="s">
        <v>119</v>
      </c>
      <c r="C20" s="270" t="s">
        <v>321</v>
      </c>
    </row>
    <row r="21" spans="1:3" ht="12.75">
      <c r="A21" s="269" t="e">
        <f>#REF!</f>
        <v>#REF!</v>
      </c>
      <c r="B21" s="269" t="e">
        <f>#REF!</f>
        <v>#REF!</v>
      </c>
      <c r="C21" s="268" t="e">
        <f>#REF!</f>
        <v>#REF!</v>
      </c>
    </row>
    <row r="22" spans="1:3" ht="12.75">
      <c r="A22" s="269" t="e">
        <f>#REF!</f>
        <v>#REF!</v>
      </c>
      <c r="B22" s="269" t="e">
        <f>#REF!</f>
        <v>#REF!</v>
      </c>
      <c r="C22" s="268" t="e">
        <f>#REF!</f>
        <v>#REF!</v>
      </c>
    </row>
    <row r="23" spans="1:3" ht="12.75">
      <c r="A23" s="269" t="e">
        <f>#REF!</f>
        <v>#REF!</v>
      </c>
      <c r="B23" s="269" t="e">
        <f>#REF!</f>
        <v>#REF!</v>
      </c>
      <c r="C23" s="268" t="e">
        <f>#REF!</f>
        <v>#REF!</v>
      </c>
    </row>
    <row r="24" spans="1:3" ht="12.75">
      <c r="A24" s="269" t="e">
        <f>#REF!</f>
        <v>#REF!</v>
      </c>
      <c r="B24" s="269" t="e">
        <f>#REF!</f>
        <v>#REF!</v>
      </c>
      <c r="C24" s="268" t="e">
        <f>#REF!</f>
        <v>#REF!</v>
      </c>
    </row>
    <row r="25" spans="1:3" ht="12.75">
      <c r="A25" s="269" t="e">
        <f>#REF!</f>
        <v>#REF!</v>
      </c>
      <c r="B25" s="269" t="e">
        <f>#REF!</f>
        <v>#REF!</v>
      </c>
      <c r="C25" s="268" t="e">
        <f>#REF!</f>
        <v>#REF!</v>
      </c>
    </row>
    <row r="26" spans="1:3" ht="12.75">
      <c r="A26" s="86"/>
      <c r="B26" s="267" t="e">
        <f>SUM(B21:B25)</f>
        <v>#REF!</v>
      </c>
      <c r="C26" s="100" t="e">
        <f>B26/38903082.33%</f>
        <v>#REF!</v>
      </c>
    </row>
    <row r="30" spans="1:4" ht="12.75">
      <c r="A30" s="197" t="e">
        <f>#REF!</f>
        <v>#REF!</v>
      </c>
      <c r="B30" s="273"/>
      <c r="C30" s="273" t="e">
        <f>#REF!</f>
        <v>#REF!</v>
      </c>
      <c r="D30" s="273" t="e">
        <f>C30/38903082.33%</f>
        <v>#REF!</v>
      </c>
    </row>
    <row r="31" spans="1:4" ht="12.75">
      <c r="A31" s="197" t="e">
        <f>#REF!</f>
        <v>#REF!</v>
      </c>
      <c r="B31" s="273"/>
      <c r="C31" s="273" t="e">
        <f>#REF!</f>
        <v>#REF!</v>
      </c>
      <c r="D31" s="273" t="e">
        <f aca="true" t="shared" si="1" ref="D31:D51">C31/38903082.33%</f>
        <v>#REF!</v>
      </c>
    </row>
    <row r="32" spans="1:4" ht="12.75">
      <c r="A32" s="197" t="e">
        <f>#REF!</f>
        <v>#REF!</v>
      </c>
      <c r="B32" s="273"/>
      <c r="C32" s="274" t="e">
        <f>#REF!</f>
        <v>#REF!</v>
      </c>
      <c r="D32" s="273" t="e">
        <f t="shared" si="1"/>
        <v>#REF!</v>
      </c>
    </row>
    <row r="33" spans="1:4" ht="12.75">
      <c r="A33" s="197" t="e">
        <f>#REF!</f>
        <v>#REF!</v>
      </c>
      <c r="B33" s="273"/>
      <c r="C33" s="274" t="e">
        <f>#REF!</f>
        <v>#REF!</v>
      </c>
      <c r="D33" s="273" t="e">
        <f t="shared" si="1"/>
        <v>#REF!</v>
      </c>
    </row>
    <row r="34" spans="1:4" ht="12.75">
      <c r="A34" s="275" t="e">
        <f>#REF!</f>
        <v>#REF!</v>
      </c>
      <c r="B34" s="276"/>
      <c r="C34" s="277" t="e">
        <f>#REF!</f>
        <v>#REF!</v>
      </c>
      <c r="D34" s="276" t="e">
        <f t="shared" si="1"/>
        <v>#REF!</v>
      </c>
    </row>
    <row r="35" spans="1:4" ht="12.75">
      <c r="A35" s="197" t="e">
        <f>#REF!</f>
        <v>#REF!</v>
      </c>
      <c r="B35" s="273"/>
      <c r="C35" s="274" t="e">
        <f>#REF!</f>
        <v>#REF!</v>
      </c>
      <c r="D35" s="273" t="e">
        <f t="shared" si="1"/>
        <v>#REF!</v>
      </c>
    </row>
    <row r="36" spans="1:4" ht="12.75">
      <c r="A36" s="275" t="e">
        <f>#REF!</f>
        <v>#REF!</v>
      </c>
      <c r="B36" s="276"/>
      <c r="C36" s="277" t="e">
        <f>#REF!</f>
        <v>#REF!</v>
      </c>
      <c r="D36" s="276" t="e">
        <f t="shared" si="1"/>
        <v>#REF!</v>
      </c>
    </row>
    <row r="37" spans="1:4" ht="12.75">
      <c r="A37" s="197" t="e">
        <f>#REF!</f>
        <v>#REF!</v>
      </c>
      <c r="B37" s="273"/>
      <c r="C37" s="274" t="e">
        <f>#REF!</f>
        <v>#REF!</v>
      </c>
      <c r="D37" s="273" t="e">
        <f t="shared" si="1"/>
        <v>#REF!</v>
      </c>
    </row>
    <row r="38" spans="1:4" ht="12.75">
      <c r="A38" s="275" t="e">
        <f>#REF!</f>
        <v>#REF!</v>
      </c>
      <c r="B38" s="276"/>
      <c r="C38" s="277" t="e">
        <f>#REF!</f>
        <v>#REF!</v>
      </c>
      <c r="D38" s="276" t="e">
        <f t="shared" si="1"/>
        <v>#REF!</v>
      </c>
    </row>
    <row r="39" spans="1:4" ht="12.75">
      <c r="A39" s="197" t="e">
        <f>#REF!</f>
        <v>#REF!</v>
      </c>
      <c r="B39" s="273"/>
      <c r="C39" s="274" t="e">
        <f>#REF!</f>
        <v>#REF!</v>
      </c>
      <c r="D39" s="273" t="e">
        <f t="shared" si="1"/>
        <v>#REF!</v>
      </c>
    </row>
    <row r="40" spans="1:4" ht="12.75">
      <c r="A40" s="197" t="e">
        <f>#REF!</f>
        <v>#REF!</v>
      </c>
      <c r="B40" s="273"/>
      <c r="C40" s="274" t="e">
        <f>#REF!</f>
        <v>#REF!</v>
      </c>
      <c r="D40" s="273" t="e">
        <f t="shared" si="1"/>
        <v>#REF!</v>
      </c>
    </row>
    <row r="41" spans="1:4" ht="12.75">
      <c r="A41" s="197" t="e">
        <f>#REF!</f>
        <v>#REF!</v>
      </c>
      <c r="B41" s="273"/>
      <c r="C41" s="274" t="e">
        <f>#REF!</f>
        <v>#REF!</v>
      </c>
      <c r="D41" s="273" t="e">
        <f t="shared" si="1"/>
        <v>#REF!</v>
      </c>
    </row>
    <row r="42" spans="1:4" ht="12.75">
      <c r="A42" s="278" t="e">
        <f>#REF!</f>
        <v>#REF!</v>
      </c>
      <c r="B42" s="276"/>
      <c r="C42" s="277" t="e">
        <f>#REF!</f>
        <v>#REF!</v>
      </c>
      <c r="D42" s="276" t="e">
        <f t="shared" si="1"/>
        <v>#REF!</v>
      </c>
    </row>
    <row r="43" spans="1:4" ht="12.75">
      <c r="A43" s="197" t="e">
        <f>#REF!</f>
        <v>#REF!</v>
      </c>
      <c r="B43" s="273"/>
      <c r="C43" s="274" t="e">
        <f>#REF!</f>
        <v>#REF!</v>
      </c>
      <c r="D43" s="273" t="e">
        <f t="shared" si="1"/>
        <v>#REF!</v>
      </c>
    </row>
    <row r="44" spans="1:4" ht="12.75">
      <c r="A44" s="275" t="e">
        <f>#REF!</f>
        <v>#REF!</v>
      </c>
      <c r="B44" s="276"/>
      <c r="C44" s="277" t="e">
        <f>#REF!</f>
        <v>#REF!</v>
      </c>
      <c r="D44" s="276" t="e">
        <f t="shared" si="1"/>
        <v>#REF!</v>
      </c>
    </row>
    <row r="45" spans="1:4" ht="12.75">
      <c r="A45" s="197" t="e">
        <f>#REF!</f>
        <v>#REF!</v>
      </c>
      <c r="B45" s="273"/>
      <c r="C45" s="274" t="e">
        <f>#REF!</f>
        <v>#REF!</v>
      </c>
      <c r="D45" s="273" t="e">
        <f t="shared" si="1"/>
        <v>#REF!</v>
      </c>
    </row>
    <row r="46" spans="1:4" ht="12.75">
      <c r="A46" s="275" t="e">
        <f>#REF!</f>
        <v>#REF!</v>
      </c>
      <c r="B46" s="276"/>
      <c r="C46" s="277" t="e">
        <f>#REF!</f>
        <v>#REF!</v>
      </c>
      <c r="D46" s="276" t="e">
        <f t="shared" si="1"/>
        <v>#REF!</v>
      </c>
    </row>
    <row r="47" spans="1:4" ht="12.75">
      <c r="A47" s="197" t="e">
        <f>#REF!</f>
        <v>#REF!</v>
      </c>
      <c r="B47" s="273"/>
      <c r="C47" s="274" t="e">
        <f>#REF!</f>
        <v>#REF!</v>
      </c>
      <c r="D47" s="273" t="e">
        <f t="shared" si="1"/>
        <v>#REF!</v>
      </c>
    </row>
    <row r="48" spans="1:4" ht="12.75">
      <c r="A48" s="275" t="e">
        <f>#REF!</f>
        <v>#REF!</v>
      </c>
      <c r="B48" s="276"/>
      <c r="C48" s="277" t="e">
        <f>#REF!</f>
        <v>#REF!</v>
      </c>
      <c r="D48" s="276" t="e">
        <f t="shared" si="1"/>
        <v>#REF!</v>
      </c>
    </row>
    <row r="49" spans="1:4" ht="12.75">
      <c r="A49" s="275" t="e">
        <f>#REF!</f>
        <v>#REF!</v>
      </c>
      <c r="B49" s="276"/>
      <c r="C49" s="277" t="e">
        <f>#REF!</f>
        <v>#REF!</v>
      </c>
      <c r="D49" s="276" t="e">
        <f t="shared" si="1"/>
        <v>#REF!</v>
      </c>
    </row>
    <row r="50" spans="1:4" ht="12.75">
      <c r="A50" s="275" t="e">
        <f>#REF!</f>
        <v>#REF!</v>
      </c>
      <c r="B50" s="276"/>
      <c r="C50" s="277" t="e">
        <f>#REF!</f>
        <v>#REF!</v>
      </c>
      <c r="D50" s="276" t="e">
        <f t="shared" si="1"/>
        <v>#REF!</v>
      </c>
    </row>
    <row r="51" spans="1:4" ht="12.75">
      <c r="A51" s="197" t="e">
        <f>#REF!</f>
        <v>#REF!</v>
      </c>
      <c r="B51" s="273"/>
      <c r="C51" s="274" t="e">
        <f>#REF!</f>
        <v>#REF!</v>
      </c>
      <c r="D51" s="273" t="e">
        <f t="shared" si="1"/>
        <v>#REF!</v>
      </c>
    </row>
    <row r="52" spans="3:4" ht="12.75">
      <c r="C52" s="272" t="e">
        <f>SUM(C30:C51)</f>
        <v>#REF!</v>
      </c>
      <c r="D52" s="271" t="e">
        <f>SUM(D30:D51)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SheetLayoutView="100" workbookViewId="0" topLeftCell="A1">
      <selection activeCell="C68" sqref="C68"/>
    </sheetView>
  </sheetViews>
  <sheetFormatPr defaultColWidth="9.00390625" defaultRowHeight="12.75"/>
  <cols>
    <col min="1" max="1" width="4.00390625" style="335" customWidth="1"/>
    <col min="2" max="2" width="60.125" style="3" customWidth="1"/>
    <col min="3" max="4" width="10.875" style="6" customWidth="1"/>
    <col min="5" max="5" width="9.125" style="6" customWidth="1"/>
    <col min="6" max="6" width="11.375" style="336" customWidth="1"/>
    <col min="7" max="7" width="6.00390625" style="336" customWidth="1"/>
    <col min="8" max="8" width="12.00390625" style="356" customWidth="1"/>
    <col min="9" max="9" width="12.00390625" style="355" customWidth="1"/>
  </cols>
  <sheetData>
    <row r="1" ht="13.5">
      <c r="H1" s="572"/>
    </row>
    <row r="2" spans="1:9" ht="15.75">
      <c r="A2" s="622" t="s">
        <v>540</v>
      </c>
      <c r="B2" s="622"/>
      <c r="C2" s="622"/>
      <c r="D2" s="622"/>
      <c r="E2" s="622"/>
      <c r="F2" s="622"/>
      <c r="G2" s="622"/>
      <c r="H2" s="622"/>
      <c r="I2" s="622"/>
    </row>
    <row r="3" spans="1:8" ht="13.5">
      <c r="A3" s="673"/>
      <c r="B3" s="673"/>
      <c r="C3" s="673"/>
      <c r="D3" s="673"/>
      <c r="E3" s="673"/>
      <c r="F3" s="673"/>
      <c r="G3" s="673"/>
      <c r="H3" s="673"/>
    </row>
    <row r="4" spans="1:8" ht="13.5">
      <c r="A4" s="335" t="s">
        <v>329</v>
      </c>
      <c r="B4" s="674" t="s">
        <v>411</v>
      </c>
      <c r="C4" s="674"/>
      <c r="D4" s="674"/>
      <c r="E4" s="674"/>
      <c r="F4" s="674"/>
      <c r="G4" s="674"/>
      <c r="H4" s="674"/>
    </row>
    <row r="5" spans="1:9" ht="13.5">
      <c r="A5" s="651" t="s">
        <v>412</v>
      </c>
      <c r="B5" s="651" t="s">
        <v>413</v>
      </c>
      <c r="C5" s="644" t="s">
        <v>414</v>
      </c>
      <c r="D5" s="644" t="s">
        <v>415</v>
      </c>
      <c r="E5" s="644" t="s">
        <v>416</v>
      </c>
      <c r="F5" s="644" t="s">
        <v>417</v>
      </c>
      <c r="G5" s="655" t="s">
        <v>454</v>
      </c>
      <c r="H5" s="655"/>
      <c r="I5" s="655"/>
    </row>
    <row r="6" spans="1:9" ht="12.75" customHeight="1">
      <c r="A6" s="635"/>
      <c r="B6" s="635"/>
      <c r="C6" s="635"/>
      <c r="D6" s="635"/>
      <c r="E6" s="635"/>
      <c r="F6" s="635"/>
      <c r="G6" s="644" t="s">
        <v>418</v>
      </c>
      <c r="H6" s="644">
        <v>2010</v>
      </c>
      <c r="I6" s="644">
        <v>2011</v>
      </c>
    </row>
    <row r="7" spans="1:9" ht="12.75" customHeight="1">
      <c r="A7" s="635"/>
      <c r="B7" s="635"/>
      <c r="C7" s="635"/>
      <c r="D7" s="635"/>
      <c r="E7" s="635"/>
      <c r="F7" s="635"/>
      <c r="G7" s="645"/>
      <c r="H7" s="645"/>
      <c r="I7" s="645"/>
    </row>
    <row r="8" spans="1:9" ht="15.75">
      <c r="A8" s="656">
        <v>1</v>
      </c>
      <c r="B8" s="669" t="s">
        <v>490</v>
      </c>
      <c r="C8" s="656" t="s">
        <v>421</v>
      </c>
      <c r="D8" s="647" t="s">
        <v>422</v>
      </c>
      <c r="E8" s="647" t="s">
        <v>437</v>
      </c>
      <c r="F8" s="658">
        <v>3840000</v>
      </c>
      <c r="G8" s="337" t="s">
        <v>419</v>
      </c>
      <c r="H8" s="444">
        <v>574500</v>
      </c>
      <c r="I8" s="444"/>
    </row>
    <row r="9" spans="1:9" ht="13.5">
      <c r="A9" s="668"/>
      <c r="B9" s="670"/>
      <c r="C9" s="668"/>
      <c r="D9" s="671"/>
      <c r="E9" s="671"/>
      <c r="F9" s="643"/>
      <c r="G9" s="338" t="s">
        <v>420</v>
      </c>
      <c r="H9" s="446"/>
      <c r="I9" s="446">
        <v>3255500</v>
      </c>
    </row>
    <row r="10" spans="1:9" ht="15.75">
      <c r="A10" s="656">
        <v>2</v>
      </c>
      <c r="B10" s="669" t="s">
        <v>534</v>
      </c>
      <c r="C10" s="656" t="s">
        <v>535</v>
      </c>
      <c r="D10" s="647" t="s">
        <v>422</v>
      </c>
      <c r="E10" s="647" t="s">
        <v>536</v>
      </c>
      <c r="F10" s="667">
        <v>3786504</v>
      </c>
      <c r="G10" s="337" t="s">
        <v>419</v>
      </c>
      <c r="H10" s="444">
        <v>1105679.85</v>
      </c>
      <c r="I10" s="444"/>
    </row>
    <row r="11" spans="1:9" ht="13.5">
      <c r="A11" s="668"/>
      <c r="B11" s="670"/>
      <c r="C11" s="668"/>
      <c r="D11" s="671"/>
      <c r="E11" s="671"/>
      <c r="F11" s="672"/>
      <c r="G11" s="338" t="s">
        <v>420</v>
      </c>
      <c r="H11" s="446">
        <v>2609199.64</v>
      </c>
      <c r="I11" s="446"/>
    </row>
    <row r="12" spans="1:9" ht="13.5">
      <c r="A12" s="339"/>
      <c r="B12" s="340"/>
      <c r="C12" s="340"/>
      <c r="D12" s="340"/>
      <c r="E12" s="340"/>
      <c r="F12" s="341"/>
      <c r="G12" s="342"/>
      <c r="H12" s="447">
        <v>4289379.49</v>
      </c>
      <c r="I12" s="447">
        <v>3255500</v>
      </c>
    </row>
    <row r="13" spans="1:8" ht="13.5">
      <c r="A13" s="343" t="s">
        <v>331</v>
      </c>
      <c r="B13" s="576" t="s">
        <v>424</v>
      </c>
      <c r="C13" s="576"/>
      <c r="D13" s="576"/>
      <c r="E13" s="576"/>
      <c r="F13" s="576"/>
      <c r="G13" s="576"/>
      <c r="H13" s="576"/>
    </row>
    <row r="14" spans="1:9" ht="13.5">
      <c r="A14" s="651" t="s">
        <v>412</v>
      </c>
      <c r="B14" s="651" t="s">
        <v>413</v>
      </c>
      <c r="C14" s="644" t="s">
        <v>414</v>
      </c>
      <c r="D14" s="644" t="s">
        <v>415</v>
      </c>
      <c r="E14" s="644" t="s">
        <v>416</v>
      </c>
      <c r="F14" s="644" t="s">
        <v>417</v>
      </c>
      <c r="G14" s="655" t="s">
        <v>454</v>
      </c>
      <c r="H14" s="655"/>
      <c r="I14" s="655"/>
    </row>
    <row r="15" spans="1:9" ht="12.75" customHeight="1">
      <c r="A15" s="635"/>
      <c r="B15" s="635"/>
      <c r="C15" s="635"/>
      <c r="D15" s="635"/>
      <c r="E15" s="635"/>
      <c r="F15" s="635"/>
      <c r="G15" s="644" t="s">
        <v>418</v>
      </c>
      <c r="H15" s="644">
        <v>2010</v>
      </c>
      <c r="I15" s="644">
        <v>2011</v>
      </c>
    </row>
    <row r="16" spans="1:9" ht="12.75" customHeight="1">
      <c r="A16" s="635"/>
      <c r="B16" s="635"/>
      <c r="C16" s="635"/>
      <c r="D16" s="635"/>
      <c r="E16" s="635"/>
      <c r="F16" s="635"/>
      <c r="G16" s="645"/>
      <c r="H16" s="645"/>
      <c r="I16" s="645"/>
    </row>
    <row r="17" spans="1:9" ht="15.75">
      <c r="A17" s="663">
        <v>1</v>
      </c>
      <c r="B17" s="664" t="s">
        <v>539</v>
      </c>
      <c r="C17" s="665" t="s">
        <v>425</v>
      </c>
      <c r="D17" s="666" t="s">
        <v>422</v>
      </c>
      <c r="E17" s="666" t="s">
        <v>437</v>
      </c>
      <c r="F17" s="667">
        <v>3031723.21</v>
      </c>
      <c r="G17" s="337" t="s">
        <v>419</v>
      </c>
      <c r="H17" s="444">
        <v>410850</v>
      </c>
      <c r="I17" s="448"/>
    </row>
    <row r="18" spans="1:9" ht="23.25" customHeight="1">
      <c r="A18" s="643"/>
      <c r="B18" s="643"/>
      <c r="C18" s="643"/>
      <c r="D18" s="643"/>
      <c r="E18" s="643"/>
      <c r="F18" s="643"/>
      <c r="G18" s="338" t="s">
        <v>420</v>
      </c>
      <c r="H18" s="446"/>
      <c r="I18" s="449">
        <v>2328150</v>
      </c>
    </row>
    <row r="19" spans="1:9" ht="13.5">
      <c r="A19" s="339"/>
      <c r="B19" s="340"/>
      <c r="C19" s="340"/>
      <c r="D19" s="340"/>
      <c r="E19" s="340"/>
      <c r="F19" s="341"/>
      <c r="G19" s="342"/>
      <c r="H19" s="447">
        <v>410850</v>
      </c>
      <c r="I19" s="447">
        <v>2328150</v>
      </c>
    </row>
    <row r="20" spans="1:8" ht="13.5">
      <c r="A20" s="343" t="s">
        <v>426</v>
      </c>
      <c r="B20" s="576" t="s">
        <v>427</v>
      </c>
      <c r="C20" s="576"/>
      <c r="D20" s="576"/>
      <c r="E20" s="576"/>
      <c r="F20" s="576"/>
      <c r="G20" s="576"/>
      <c r="H20" s="576"/>
    </row>
    <row r="21" spans="1:9" ht="13.5">
      <c r="A21" s="651" t="s">
        <v>412</v>
      </c>
      <c r="B21" s="651" t="s">
        <v>413</v>
      </c>
      <c r="C21" s="644" t="s">
        <v>414</v>
      </c>
      <c r="D21" s="644" t="s">
        <v>415</v>
      </c>
      <c r="E21" s="644" t="s">
        <v>416</v>
      </c>
      <c r="F21" s="644" t="s">
        <v>417</v>
      </c>
      <c r="G21" s="655" t="s">
        <v>454</v>
      </c>
      <c r="H21" s="655"/>
      <c r="I21" s="655"/>
    </row>
    <row r="22" spans="1:9" ht="12.75" customHeight="1">
      <c r="A22" s="635"/>
      <c r="B22" s="635"/>
      <c r="C22" s="635"/>
      <c r="D22" s="635"/>
      <c r="E22" s="635"/>
      <c r="F22" s="635"/>
      <c r="G22" s="644" t="s">
        <v>418</v>
      </c>
      <c r="H22" s="644">
        <v>2010</v>
      </c>
      <c r="I22" s="644">
        <v>2011</v>
      </c>
    </row>
    <row r="23" spans="1:9" ht="12.75" customHeight="1">
      <c r="A23" s="635"/>
      <c r="B23" s="635"/>
      <c r="C23" s="635"/>
      <c r="D23" s="635"/>
      <c r="E23" s="635"/>
      <c r="F23" s="635"/>
      <c r="G23" s="645"/>
      <c r="H23" s="645"/>
      <c r="I23" s="645"/>
    </row>
    <row r="24" spans="1:9" ht="15.75">
      <c r="A24" s="344">
        <v>1</v>
      </c>
      <c r="B24" s="610" t="s">
        <v>410</v>
      </c>
      <c r="C24" s="648" t="s">
        <v>428</v>
      </c>
      <c r="D24" s="648" t="s">
        <v>422</v>
      </c>
      <c r="E24" s="647" t="s">
        <v>423</v>
      </c>
      <c r="F24" s="658">
        <v>1692230</v>
      </c>
      <c r="G24" s="337" t="s">
        <v>419</v>
      </c>
      <c r="H24" s="450">
        <v>816715</v>
      </c>
      <c r="I24" s="448"/>
    </row>
    <row r="25" spans="1:9" ht="21.75" customHeight="1">
      <c r="A25" s="345"/>
      <c r="B25" s="643"/>
      <c r="C25" s="643"/>
      <c r="D25" s="643"/>
      <c r="E25" s="643"/>
      <c r="F25" s="643"/>
      <c r="G25" s="338" t="s">
        <v>420</v>
      </c>
      <c r="H25" s="449">
        <v>846715</v>
      </c>
      <c r="I25" s="449"/>
    </row>
    <row r="26" spans="1:9" ht="13.5">
      <c r="A26" s="339"/>
      <c r="B26" s="340"/>
      <c r="C26" s="340"/>
      <c r="D26" s="340"/>
      <c r="E26" s="340"/>
      <c r="F26" s="341"/>
      <c r="G26" s="342"/>
      <c r="H26" s="447">
        <v>1663430</v>
      </c>
      <c r="I26" s="447">
        <v>0</v>
      </c>
    </row>
    <row r="27" spans="1:8" ht="13.5">
      <c r="A27" s="343" t="s">
        <v>429</v>
      </c>
      <c r="B27" s="576" t="s">
        <v>430</v>
      </c>
      <c r="C27" s="576"/>
      <c r="D27" s="576"/>
      <c r="E27" s="576"/>
      <c r="F27" s="576"/>
      <c r="G27" s="576"/>
      <c r="H27" s="576"/>
    </row>
    <row r="28" spans="1:9" ht="13.5">
      <c r="A28" s="651" t="s">
        <v>412</v>
      </c>
      <c r="B28" s="651" t="s">
        <v>413</v>
      </c>
      <c r="C28" s="644" t="s">
        <v>414</v>
      </c>
      <c r="D28" s="644" t="s">
        <v>415</v>
      </c>
      <c r="E28" s="644" t="s">
        <v>416</v>
      </c>
      <c r="F28" s="644" t="s">
        <v>417</v>
      </c>
      <c r="G28" s="655" t="s">
        <v>454</v>
      </c>
      <c r="H28" s="655"/>
      <c r="I28" s="655"/>
    </row>
    <row r="29" spans="1:9" ht="12.75" customHeight="1">
      <c r="A29" s="635"/>
      <c r="B29" s="635"/>
      <c r="C29" s="635"/>
      <c r="D29" s="635"/>
      <c r="E29" s="635"/>
      <c r="F29" s="635"/>
      <c r="G29" s="644" t="s">
        <v>418</v>
      </c>
      <c r="H29" s="661">
        <v>2010</v>
      </c>
      <c r="I29" s="661">
        <v>2011</v>
      </c>
    </row>
    <row r="30" spans="1:9" ht="12.75" customHeight="1">
      <c r="A30" s="635"/>
      <c r="B30" s="635"/>
      <c r="C30" s="635"/>
      <c r="D30" s="635"/>
      <c r="E30" s="635"/>
      <c r="F30" s="635"/>
      <c r="G30" s="645"/>
      <c r="H30" s="662"/>
      <c r="I30" s="662"/>
    </row>
    <row r="31" spans="1:9" ht="15.75">
      <c r="A31" s="344">
        <v>1</v>
      </c>
      <c r="B31" s="610" t="s">
        <v>431</v>
      </c>
      <c r="C31" s="647" t="s">
        <v>432</v>
      </c>
      <c r="D31" s="647" t="s">
        <v>433</v>
      </c>
      <c r="E31" s="647" t="s">
        <v>423</v>
      </c>
      <c r="F31" s="658">
        <v>7462293</v>
      </c>
      <c r="G31" s="337" t="s">
        <v>419</v>
      </c>
      <c r="H31" s="443">
        <v>2249180.08</v>
      </c>
      <c r="I31" s="443">
        <v>1245631.96</v>
      </c>
    </row>
    <row r="32" spans="1:9" ht="13.5" customHeight="1">
      <c r="A32" s="345"/>
      <c r="B32" s="643"/>
      <c r="C32" s="643"/>
      <c r="D32" s="643"/>
      <c r="E32" s="643"/>
      <c r="F32" s="643"/>
      <c r="G32" s="338" t="s">
        <v>420</v>
      </c>
      <c r="H32" s="445">
        <v>1425213.5</v>
      </c>
      <c r="I32" s="445">
        <v>796387.64</v>
      </c>
    </row>
    <row r="33" spans="1:9" ht="13.5">
      <c r="A33" s="340"/>
      <c r="B33" s="340"/>
      <c r="C33" s="340"/>
      <c r="D33" s="340"/>
      <c r="E33" s="340"/>
      <c r="F33" s="341"/>
      <c r="G33" s="342"/>
      <c r="H33" s="447">
        <v>3674393.58</v>
      </c>
      <c r="I33" s="447">
        <v>2042019.6</v>
      </c>
    </row>
    <row r="34" spans="1:8" ht="13.5">
      <c r="A34" s="346" t="s">
        <v>434</v>
      </c>
      <c r="B34" s="659" t="s">
        <v>435</v>
      </c>
      <c r="C34" s="659"/>
      <c r="D34" s="659"/>
      <c r="E34" s="659"/>
      <c r="F34" s="659"/>
      <c r="G34" s="660"/>
      <c r="H34" s="660"/>
    </row>
    <row r="35" spans="1:9" ht="13.5">
      <c r="A35" s="651" t="s">
        <v>412</v>
      </c>
      <c r="B35" s="651" t="s">
        <v>413</v>
      </c>
      <c r="C35" s="644" t="s">
        <v>414</v>
      </c>
      <c r="D35" s="644" t="s">
        <v>415</v>
      </c>
      <c r="E35" s="644" t="s">
        <v>416</v>
      </c>
      <c r="F35" s="644" t="s">
        <v>417</v>
      </c>
      <c r="G35" s="655" t="s">
        <v>454</v>
      </c>
      <c r="H35" s="655"/>
      <c r="I35" s="655"/>
    </row>
    <row r="36" spans="1:9" ht="12.75" customHeight="1">
      <c r="A36" s="635"/>
      <c r="B36" s="635"/>
      <c r="C36" s="635"/>
      <c r="D36" s="635"/>
      <c r="E36" s="635"/>
      <c r="F36" s="635"/>
      <c r="G36" s="644" t="s">
        <v>418</v>
      </c>
      <c r="H36" s="644">
        <v>2010</v>
      </c>
      <c r="I36" s="644">
        <v>2011</v>
      </c>
    </row>
    <row r="37" spans="1:9" ht="12.75" customHeight="1">
      <c r="A37" s="635"/>
      <c r="B37" s="635"/>
      <c r="C37" s="635"/>
      <c r="D37" s="635"/>
      <c r="E37" s="635"/>
      <c r="F37" s="635"/>
      <c r="G37" s="645"/>
      <c r="H37" s="645"/>
      <c r="I37" s="645"/>
    </row>
    <row r="38" spans="1:9" ht="15.75">
      <c r="A38" s="656">
        <v>1</v>
      </c>
      <c r="B38" s="610" t="s">
        <v>398</v>
      </c>
      <c r="C38" s="647" t="s">
        <v>436</v>
      </c>
      <c r="D38" s="647" t="s">
        <v>433</v>
      </c>
      <c r="E38" s="647" t="s">
        <v>537</v>
      </c>
      <c r="F38" s="658">
        <v>16051043</v>
      </c>
      <c r="G38" s="337" t="s">
        <v>419</v>
      </c>
      <c r="H38" s="451">
        <v>4267061.58</v>
      </c>
      <c r="I38" s="452">
        <v>6847683.18</v>
      </c>
    </row>
    <row r="39" spans="1:9" ht="14.25" customHeight="1">
      <c r="A39" s="643"/>
      <c r="B39" s="643"/>
      <c r="C39" s="643"/>
      <c r="D39" s="643"/>
      <c r="E39" s="643"/>
      <c r="F39" s="643"/>
      <c r="G39" s="338" t="s">
        <v>420</v>
      </c>
      <c r="H39" s="445">
        <v>1885518.38</v>
      </c>
      <c r="I39" s="453">
        <v>2957013.51</v>
      </c>
    </row>
    <row r="40" spans="1:9" ht="15.75" hidden="1">
      <c r="A40" s="656">
        <v>2</v>
      </c>
      <c r="B40" s="610" t="s">
        <v>538</v>
      </c>
      <c r="C40" s="647"/>
      <c r="D40" s="647" t="s">
        <v>433</v>
      </c>
      <c r="E40" s="647">
        <v>2010</v>
      </c>
      <c r="F40" s="658">
        <v>548373</v>
      </c>
      <c r="G40" s="337" t="s">
        <v>419</v>
      </c>
      <c r="H40" s="451"/>
      <c r="I40" s="452"/>
    </row>
    <row r="41" spans="1:9" ht="35.25" customHeight="1" hidden="1">
      <c r="A41" s="643"/>
      <c r="B41" s="643"/>
      <c r="C41" s="643"/>
      <c r="D41" s="643"/>
      <c r="E41" s="643"/>
      <c r="F41" s="643"/>
      <c r="G41" s="338" t="s">
        <v>420</v>
      </c>
      <c r="H41" s="445"/>
      <c r="I41" s="453"/>
    </row>
    <row r="42" spans="1:9" ht="13.5">
      <c r="A42" s="339"/>
      <c r="B42" s="340"/>
      <c r="C42" s="340"/>
      <c r="D42" s="340"/>
      <c r="E42" s="340"/>
      <c r="F42" s="341"/>
      <c r="G42" s="342"/>
      <c r="H42" s="447">
        <v>6152579.96</v>
      </c>
      <c r="I42" s="447">
        <v>9804696.69</v>
      </c>
    </row>
    <row r="43" spans="1:8" ht="13.5">
      <c r="A43" s="343" t="s">
        <v>438</v>
      </c>
      <c r="B43" s="576" t="s">
        <v>439</v>
      </c>
      <c r="C43" s="576"/>
      <c r="D43" s="576"/>
      <c r="E43" s="576"/>
      <c r="F43" s="576"/>
      <c r="G43" s="577"/>
      <c r="H43" s="577"/>
    </row>
    <row r="44" spans="1:9" ht="13.5">
      <c r="A44" s="651" t="s">
        <v>412</v>
      </c>
      <c r="B44" s="651" t="s">
        <v>413</v>
      </c>
      <c r="C44" s="644" t="s">
        <v>414</v>
      </c>
      <c r="D44" s="644" t="s">
        <v>415</v>
      </c>
      <c r="E44" s="644" t="s">
        <v>416</v>
      </c>
      <c r="F44" s="644" t="s">
        <v>417</v>
      </c>
      <c r="G44" s="655" t="s">
        <v>454</v>
      </c>
      <c r="H44" s="655"/>
      <c r="I44" s="655"/>
    </row>
    <row r="45" spans="1:9" ht="12.75" customHeight="1">
      <c r="A45" s="635"/>
      <c r="B45" s="635"/>
      <c r="C45" s="635"/>
      <c r="D45" s="635"/>
      <c r="E45" s="635"/>
      <c r="F45" s="635"/>
      <c r="G45" s="644" t="s">
        <v>418</v>
      </c>
      <c r="H45" s="655">
        <v>2010</v>
      </c>
      <c r="I45" s="644">
        <v>2011</v>
      </c>
    </row>
    <row r="46" spans="1:9" ht="12.75" customHeight="1">
      <c r="A46" s="635"/>
      <c r="B46" s="635"/>
      <c r="C46" s="635"/>
      <c r="D46" s="635"/>
      <c r="E46" s="635"/>
      <c r="F46" s="635"/>
      <c r="G46" s="645"/>
      <c r="H46" s="655"/>
      <c r="I46" s="645"/>
    </row>
    <row r="47" spans="1:9" ht="15.75">
      <c r="A47" s="656">
        <v>1</v>
      </c>
      <c r="B47" s="610" t="s">
        <v>399</v>
      </c>
      <c r="C47" s="647" t="s">
        <v>440</v>
      </c>
      <c r="D47" s="647" t="s">
        <v>422</v>
      </c>
      <c r="E47" s="647" t="s">
        <v>437</v>
      </c>
      <c r="F47" s="657">
        <v>3580768.14</v>
      </c>
      <c r="G47" s="337" t="s">
        <v>419</v>
      </c>
      <c r="H47" s="454">
        <v>299323.94</v>
      </c>
      <c r="I47" s="451">
        <v>226445.28</v>
      </c>
    </row>
    <row r="48" spans="1:9" ht="12.75" customHeight="1">
      <c r="A48" s="643"/>
      <c r="B48" s="643"/>
      <c r="C48" s="643"/>
      <c r="D48" s="643"/>
      <c r="E48" s="643"/>
      <c r="F48" s="643"/>
      <c r="G48" s="338" t="s">
        <v>420</v>
      </c>
      <c r="H48" s="453">
        <v>1696168.98</v>
      </c>
      <c r="I48" s="445">
        <v>1283189.94</v>
      </c>
    </row>
    <row r="49" spans="1:9" ht="13.5">
      <c r="A49" s="339"/>
      <c r="B49" s="340"/>
      <c r="C49" s="340"/>
      <c r="D49" s="340"/>
      <c r="E49" s="340"/>
      <c r="F49" s="342"/>
      <c r="G49" s="342"/>
      <c r="H49" s="447">
        <v>1995492.92</v>
      </c>
      <c r="I49" s="447">
        <v>1509635.22</v>
      </c>
    </row>
    <row r="50" spans="1:8" ht="13.5">
      <c r="A50" s="343" t="s">
        <v>441</v>
      </c>
      <c r="B50" s="576" t="s">
        <v>442</v>
      </c>
      <c r="C50" s="576"/>
      <c r="D50" s="576"/>
      <c r="E50" s="576"/>
      <c r="F50" s="576"/>
      <c r="G50" s="577"/>
      <c r="H50" s="577"/>
    </row>
    <row r="51" spans="1:9" ht="13.5">
      <c r="A51" s="651" t="s">
        <v>412</v>
      </c>
      <c r="B51" s="651" t="s">
        <v>413</v>
      </c>
      <c r="C51" s="644" t="s">
        <v>414</v>
      </c>
      <c r="D51" s="644" t="s">
        <v>415</v>
      </c>
      <c r="E51" s="644" t="s">
        <v>416</v>
      </c>
      <c r="F51" s="644" t="s">
        <v>417</v>
      </c>
      <c r="G51" s="652" t="s">
        <v>454</v>
      </c>
      <c r="H51" s="653"/>
      <c r="I51" s="654"/>
    </row>
    <row r="52" spans="1:9" ht="12.75" customHeight="1">
      <c r="A52" s="635"/>
      <c r="B52" s="635"/>
      <c r="C52" s="635"/>
      <c r="D52" s="635"/>
      <c r="E52" s="635"/>
      <c r="F52" s="635"/>
      <c r="G52" s="644" t="s">
        <v>418</v>
      </c>
      <c r="H52" s="644">
        <v>2010</v>
      </c>
      <c r="I52" s="644">
        <v>2011</v>
      </c>
    </row>
    <row r="53" spans="1:9" ht="12.75" customHeight="1">
      <c r="A53" s="635"/>
      <c r="B53" s="635"/>
      <c r="C53" s="635"/>
      <c r="D53" s="635"/>
      <c r="E53" s="635"/>
      <c r="F53" s="635"/>
      <c r="G53" s="645"/>
      <c r="H53" s="645"/>
      <c r="I53" s="645"/>
    </row>
    <row r="54" spans="1:9" ht="15.75">
      <c r="A54" s="646">
        <v>1</v>
      </c>
      <c r="B54" s="610" t="s">
        <v>443</v>
      </c>
      <c r="C54" s="647" t="s">
        <v>444</v>
      </c>
      <c r="D54" s="648" t="s">
        <v>422</v>
      </c>
      <c r="E54" s="647" t="s">
        <v>437</v>
      </c>
      <c r="F54" s="649">
        <v>1667881.45</v>
      </c>
      <c r="G54" s="337" t="s">
        <v>419</v>
      </c>
      <c r="H54" s="443">
        <v>902000</v>
      </c>
      <c r="I54" s="451">
        <v>265881.45</v>
      </c>
    </row>
    <row r="55" spans="1:9" ht="13.5">
      <c r="A55" s="643"/>
      <c r="B55" s="643"/>
      <c r="C55" s="643"/>
      <c r="D55" s="643"/>
      <c r="E55" s="643"/>
      <c r="F55" s="650"/>
      <c r="G55" s="338" t="s">
        <v>420</v>
      </c>
      <c r="H55" s="445"/>
      <c r="I55" s="445">
        <v>500000</v>
      </c>
    </row>
    <row r="56" spans="1:9" ht="13.5">
      <c r="A56" s="347"/>
      <c r="B56" s="197"/>
      <c r="C56" s="348"/>
      <c r="D56" s="348"/>
      <c r="E56" s="348"/>
      <c r="F56" s="349"/>
      <c r="G56" s="350"/>
      <c r="H56" s="455">
        <v>902000</v>
      </c>
      <c r="I56" s="455">
        <v>765881.45</v>
      </c>
    </row>
    <row r="57" spans="1:8" ht="13.5">
      <c r="A57" s="343"/>
      <c r="B57" s="576"/>
      <c r="C57" s="576"/>
      <c r="D57" s="576"/>
      <c r="E57" s="576"/>
      <c r="F57" s="576"/>
      <c r="G57" s="577"/>
      <c r="H57" s="577"/>
    </row>
    <row r="58" spans="1:9" ht="13.5">
      <c r="A58" s="578" t="s">
        <v>412</v>
      </c>
      <c r="B58" s="581" t="s">
        <v>445</v>
      </c>
      <c r="C58" s="582"/>
      <c r="D58" s="582"/>
      <c r="E58" s="583"/>
      <c r="F58" s="634" t="s">
        <v>417</v>
      </c>
      <c r="G58" s="636" t="s">
        <v>454</v>
      </c>
      <c r="H58" s="636"/>
      <c r="I58" s="636"/>
    </row>
    <row r="59" spans="1:9" ht="12.75" customHeight="1">
      <c r="A59" s="579"/>
      <c r="B59" s="628"/>
      <c r="C59" s="629"/>
      <c r="D59" s="629"/>
      <c r="E59" s="630"/>
      <c r="F59" s="635"/>
      <c r="G59" s="637" t="s">
        <v>418</v>
      </c>
      <c r="H59" s="634">
        <v>2010</v>
      </c>
      <c r="I59" s="640">
        <v>2011</v>
      </c>
    </row>
    <row r="60" spans="1:9" ht="12.75" customHeight="1">
      <c r="A60" s="579"/>
      <c r="B60" s="628"/>
      <c r="C60" s="629"/>
      <c r="D60" s="629"/>
      <c r="E60" s="630"/>
      <c r="F60" s="635"/>
      <c r="G60" s="638"/>
      <c r="H60" s="639"/>
      <c r="I60" s="641"/>
    </row>
    <row r="61" spans="1:9" ht="15">
      <c r="A61" s="579"/>
      <c r="B61" s="628"/>
      <c r="C61" s="629"/>
      <c r="D61" s="629"/>
      <c r="E61" s="630"/>
      <c r="F61" s="642">
        <v>37874312</v>
      </c>
      <c r="G61" s="456" t="s">
        <v>419</v>
      </c>
      <c r="H61" s="457">
        <v>10625310.45</v>
      </c>
      <c r="I61" s="457">
        <v>8585641.87</v>
      </c>
    </row>
    <row r="62" spans="1:9" ht="13.5">
      <c r="A62" s="580"/>
      <c r="B62" s="631"/>
      <c r="C62" s="632"/>
      <c r="D62" s="632"/>
      <c r="E62" s="633"/>
      <c r="F62" s="643"/>
      <c r="G62" s="351" t="s">
        <v>420</v>
      </c>
      <c r="H62" s="458">
        <v>8462815.5</v>
      </c>
      <c r="I62" s="458">
        <v>11120241.09</v>
      </c>
    </row>
    <row r="63" spans="1:9" ht="12.75">
      <c r="A63" s="347"/>
      <c r="B63" s="197"/>
      <c r="C63" s="348"/>
      <c r="D63" s="348"/>
      <c r="E63" s="348"/>
      <c r="F63" s="349"/>
      <c r="G63" s="350"/>
      <c r="H63" s="459">
        <v>19088125.95</v>
      </c>
      <c r="I63" s="459">
        <v>19705882.96</v>
      </c>
    </row>
  </sheetData>
  <mergeCells count="140">
    <mergeCell ref="I15:I16"/>
    <mergeCell ref="H6:H7"/>
    <mergeCell ref="A8:A9"/>
    <mergeCell ref="B8:B9"/>
    <mergeCell ref="D5:D7"/>
    <mergeCell ref="B5:B7"/>
    <mergeCell ref="C5:C7"/>
    <mergeCell ref="C8:C9"/>
    <mergeCell ref="A3:H3"/>
    <mergeCell ref="B4:H4"/>
    <mergeCell ref="A2:I2"/>
    <mergeCell ref="A5:A7"/>
    <mergeCell ref="E5:E7"/>
    <mergeCell ref="F5:F7"/>
    <mergeCell ref="G6:G7"/>
    <mergeCell ref="G5:I5"/>
    <mergeCell ref="I6:I7"/>
    <mergeCell ref="E40:E41"/>
    <mergeCell ref="G15:G16"/>
    <mergeCell ref="D8:D9"/>
    <mergeCell ref="E8:E9"/>
    <mergeCell ref="F8:F9"/>
    <mergeCell ref="E10:E11"/>
    <mergeCell ref="F10:F11"/>
    <mergeCell ref="B13:H13"/>
    <mergeCell ref="E14:E16"/>
    <mergeCell ref="H15:H16"/>
    <mergeCell ref="C14:C16"/>
    <mergeCell ref="D14:D16"/>
    <mergeCell ref="A10:A11"/>
    <mergeCell ref="B10:B11"/>
    <mergeCell ref="C10:C11"/>
    <mergeCell ref="D10:D11"/>
    <mergeCell ref="F14:F16"/>
    <mergeCell ref="G14:I14"/>
    <mergeCell ref="A17:A18"/>
    <mergeCell ref="B17:B18"/>
    <mergeCell ref="C17:C18"/>
    <mergeCell ref="D17:D18"/>
    <mergeCell ref="E17:E18"/>
    <mergeCell ref="F17:F18"/>
    <mergeCell ref="A14:A16"/>
    <mergeCell ref="B14:B16"/>
    <mergeCell ref="B20:H20"/>
    <mergeCell ref="A21:A23"/>
    <mergeCell ref="B21:B23"/>
    <mergeCell ref="C21:C23"/>
    <mergeCell ref="D21:D23"/>
    <mergeCell ref="E21:E23"/>
    <mergeCell ref="F21:F23"/>
    <mergeCell ref="G21:I21"/>
    <mergeCell ref="G22:G23"/>
    <mergeCell ref="H22:H23"/>
    <mergeCell ref="I22:I23"/>
    <mergeCell ref="B24:B25"/>
    <mergeCell ref="C24:C25"/>
    <mergeCell ref="D24:D25"/>
    <mergeCell ref="E24:E25"/>
    <mergeCell ref="F24:F25"/>
    <mergeCell ref="B27:H27"/>
    <mergeCell ref="A28:A30"/>
    <mergeCell ref="B28:B30"/>
    <mergeCell ref="C28:C30"/>
    <mergeCell ref="D28:D30"/>
    <mergeCell ref="E28:E30"/>
    <mergeCell ref="F28:F30"/>
    <mergeCell ref="G28:I28"/>
    <mergeCell ref="G29:G30"/>
    <mergeCell ref="H29:H30"/>
    <mergeCell ref="I29:I30"/>
    <mergeCell ref="B31:B32"/>
    <mergeCell ref="C31:C32"/>
    <mergeCell ref="D31:D32"/>
    <mergeCell ref="E31:E32"/>
    <mergeCell ref="F31:F32"/>
    <mergeCell ref="B34:H34"/>
    <mergeCell ref="A35:A37"/>
    <mergeCell ref="B35:B37"/>
    <mergeCell ref="C35:C37"/>
    <mergeCell ref="D35:D37"/>
    <mergeCell ref="E35:E37"/>
    <mergeCell ref="F35:F37"/>
    <mergeCell ref="G35:I35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A40:A41"/>
    <mergeCell ref="B40:B41"/>
    <mergeCell ref="C40:C41"/>
    <mergeCell ref="D40:D41"/>
    <mergeCell ref="F40:F41"/>
    <mergeCell ref="B43:H43"/>
    <mergeCell ref="A44:A46"/>
    <mergeCell ref="B44:B46"/>
    <mergeCell ref="C44:C46"/>
    <mergeCell ref="D44:D46"/>
    <mergeCell ref="E44:E46"/>
    <mergeCell ref="F44:F46"/>
    <mergeCell ref="G44:I44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B50:H50"/>
    <mergeCell ref="A51:A53"/>
    <mergeCell ref="B51:B53"/>
    <mergeCell ref="C51:C53"/>
    <mergeCell ref="D51:D53"/>
    <mergeCell ref="E51:E53"/>
    <mergeCell ref="F51:F53"/>
    <mergeCell ref="G51:I51"/>
    <mergeCell ref="G52:G53"/>
    <mergeCell ref="H52:H53"/>
    <mergeCell ref="I52:I53"/>
    <mergeCell ref="A54:A55"/>
    <mergeCell ref="B54:B55"/>
    <mergeCell ref="C54:C55"/>
    <mergeCell ref="D54:D55"/>
    <mergeCell ref="E54:E55"/>
    <mergeCell ref="F54:F55"/>
    <mergeCell ref="B57:H57"/>
    <mergeCell ref="A58:A62"/>
    <mergeCell ref="B58:E62"/>
    <mergeCell ref="F58:F60"/>
    <mergeCell ref="G58:I58"/>
    <mergeCell ref="G59:G60"/>
    <mergeCell ref="H59:H60"/>
    <mergeCell ref="I59:I60"/>
    <mergeCell ref="F61:F62"/>
  </mergeCells>
  <printOptions/>
  <pageMargins left="0.54" right="0.28" top="0.69" bottom="0.52" header="0.5" footer="0.42"/>
  <pageSetup horizontalDpi="300" verticalDpi="300" orientation="landscape" paperSize="9" r:id="rId1"/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875" style="66" customWidth="1"/>
    <col min="3" max="3" width="22.625" style="7" customWidth="1"/>
    <col min="4" max="4" width="13.375" style="7" customWidth="1"/>
    <col min="5" max="5" width="12.00390625" style="7" customWidth="1"/>
    <col min="6" max="6" width="13.25390625" style="7" customWidth="1"/>
    <col min="7" max="7" width="14.125" style="7" customWidth="1"/>
    <col min="8" max="8" width="13.625" style="7" customWidth="1"/>
    <col min="9" max="16384" width="9.125" style="7" customWidth="1"/>
  </cols>
  <sheetData>
    <row r="1" spans="1:6" ht="12.75">
      <c r="A1" s="461"/>
      <c r="B1" s="462"/>
      <c r="C1" s="463"/>
      <c r="D1" s="461"/>
      <c r="E1" s="106" t="s">
        <v>0</v>
      </c>
      <c r="F1" s="106"/>
    </row>
    <row r="2" spans="1:6" ht="14.25" customHeight="1">
      <c r="A2" s="681" t="s">
        <v>303</v>
      </c>
      <c r="B2" s="681"/>
      <c r="C2" s="681"/>
      <c r="D2" s="681"/>
      <c r="E2" s="681"/>
      <c r="F2" s="681"/>
    </row>
    <row r="3" spans="1:6" ht="14.25" customHeight="1">
      <c r="A3" s="522"/>
      <c r="B3" s="522"/>
      <c r="C3" s="522"/>
      <c r="D3" s="522"/>
      <c r="E3" s="522"/>
      <c r="F3" s="522"/>
    </row>
    <row r="4" spans="1:7" ht="12.75">
      <c r="A4" s="675" t="s">
        <v>63</v>
      </c>
      <c r="B4" s="676"/>
      <c r="C4" s="676"/>
      <c r="D4" s="676"/>
      <c r="E4" s="676"/>
      <c r="F4" s="676"/>
      <c r="G4" s="677"/>
    </row>
    <row r="5" spans="1:7" ht="24" customHeight="1">
      <c r="A5" s="680" t="s">
        <v>412</v>
      </c>
      <c r="B5" s="680" t="s">
        <v>413</v>
      </c>
      <c r="C5" s="682" t="s">
        <v>414</v>
      </c>
      <c r="D5" s="678" t="s">
        <v>415</v>
      </c>
      <c r="E5" s="678" t="s">
        <v>416</v>
      </c>
      <c r="F5" s="678" t="s">
        <v>563</v>
      </c>
      <c r="G5" s="523" t="s">
        <v>561</v>
      </c>
    </row>
    <row r="6" spans="1:7" ht="12.75" customHeight="1">
      <c r="A6" s="679"/>
      <c r="B6" s="679"/>
      <c r="C6" s="683"/>
      <c r="D6" s="679"/>
      <c r="E6" s="679"/>
      <c r="F6" s="679"/>
      <c r="G6" s="678">
        <v>2010</v>
      </c>
    </row>
    <row r="7" spans="1:7" ht="12.75" customHeight="1">
      <c r="A7" s="679"/>
      <c r="B7" s="679"/>
      <c r="C7" s="683"/>
      <c r="D7" s="679"/>
      <c r="E7" s="679"/>
      <c r="F7" s="679"/>
      <c r="G7" s="678"/>
    </row>
    <row r="8" spans="1:7" ht="40.5" customHeight="1">
      <c r="A8" s="83">
        <v>1</v>
      </c>
      <c r="B8" s="88" t="s">
        <v>576</v>
      </c>
      <c r="C8" s="527" t="s">
        <v>577</v>
      </c>
      <c r="D8" s="517" t="s">
        <v>422</v>
      </c>
      <c r="E8" s="517" t="s">
        <v>569</v>
      </c>
      <c r="F8" s="519">
        <v>1166300</v>
      </c>
      <c r="G8" s="518">
        <v>505100</v>
      </c>
    </row>
    <row r="9" spans="1:7" ht="26.25" customHeight="1">
      <c r="A9" s="83">
        <v>2</v>
      </c>
      <c r="B9" s="88" t="s">
        <v>572</v>
      </c>
      <c r="C9" s="527" t="s">
        <v>570</v>
      </c>
      <c r="D9" s="517" t="s">
        <v>517</v>
      </c>
      <c r="E9" s="517">
        <v>2010</v>
      </c>
      <c r="F9" s="519">
        <v>16235</v>
      </c>
      <c r="G9" s="518">
        <v>16235</v>
      </c>
    </row>
    <row r="10" spans="1:7" ht="43.5" customHeight="1">
      <c r="A10" s="83">
        <v>3</v>
      </c>
      <c r="B10" s="88" t="s">
        <v>568</v>
      </c>
      <c r="C10" s="527" t="s">
        <v>573</v>
      </c>
      <c r="D10" s="517" t="s">
        <v>559</v>
      </c>
      <c r="E10" s="517">
        <v>2010</v>
      </c>
      <c r="F10" s="519">
        <v>167400</v>
      </c>
      <c r="G10" s="518">
        <v>167400</v>
      </c>
    </row>
    <row r="11" spans="1:7" ht="39.75" customHeight="1">
      <c r="A11" s="83">
        <v>4</v>
      </c>
      <c r="B11" s="88" t="s">
        <v>567</v>
      </c>
      <c r="C11" s="527" t="s">
        <v>571</v>
      </c>
      <c r="D11" s="517" t="s">
        <v>560</v>
      </c>
      <c r="E11" s="517">
        <v>2010</v>
      </c>
      <c r="F11" s="519">
        <v>323092</v>
      </c>
      <c r="G11" s="524">
        <v>323092</v>
      </c>
    </row>
    <row r="12" spans="1:7" s="354" customFormat="1" ht="12.75">
      <c r="A12" s="627" t="s">
        <v>575</v>
      </c>
      <c r="B12" s="589"/>
      <c r="C12" s="589"/>
      <c r="D12" s="589"/>
      <c r="E12" s="589"/>
      <c r="F12" s="589"/>
      <c r="G12" s="217">
        <v>1011827</v>
      </c>
    </row>
    <row r="14" spans="1:7" ht="12.75">
      <c r="A14" s="675" t="s">
        <v>94</v>
      </c>
      <c r="B14" s="676"/>
      <c r="C14" s="676"/>
      <c r="D14" s="676"/>
      <c r="E14" s="676"/>
      <c r="F14" s="676"/>
      <c r="G14" s="677"/>
    </row>
    <row r="15" spans="1:7" ht="24" customHeight="1">
      <c r="A15" s="680" t="s">
        <v>412</v>
      </c>
      <c r="B15" s="680" t="s">
        <v>413</v>
      </c>
      <c r="C15" s="678" t="s">
        <v>414</v>
      </c>
      <c r="D15" s="678" t="s">
        <v>415</v>
      </c>
      <c r="E15" s="678" t="s">
        <v>416</v>
      </c>
      <c r="F15" s="678" t="s">
        <v>563</v>
      </c>
      <c r="G15" s="523" t="s">
        <v>561</v>
      </c>
    </row>
    <row r="16" spans="1:7" ht="12.75" customHeight="1">
      <c r="A16" s="679"/>
      <c r="B16" s="679"/>
      <c r="C16" s="679"/>
      <c r="D16" s="679"/>
      <c r="E16" s="679"/>
      <c r="F16" s="679"/>
      <c r="G16" s="678">
        <v>2010</v>
      </c>
    </row>
    <row r="17" spans="1:7" ht="6" customHeight="1">
      <c r="A17" s="679"/>
      <c r="B17" s="679"/>
      <c r="C17" s="679"/>
      <c r="D17" s="679"/>
      <c r="E17" s="679"/>
      <c r="F17" s="679"/>
      <c r="G17" s="678"/>
    </row>
    <row r="18" spans="1:7" ht="27" customHeight="1">
      <c r="A18" s="83">
        <v>1</v>
      </c>
      <c r="B18" s="88" t="s">
        <v>490</v>
      </c>
      <c r="C18" s="88" t="s">
        <v>421</v>
      </c>
      <c r="D18" s="88" t="s">
        <v>422</v>
      </c>
      <c r="E18" s="8" t="s">
        <v>437</v>
      </c>
      <c r="F18" s="518">
        <v>3840000</v>
      </c>
      <c r="G18" s="518">
        <v>574500</v>
      </c>
    </row>
    <row r="19" spans="1:7" ht="27" customHeight="1">
      <c r="A19" s="83">
        <v>2</v>
      </c>
      <c r="B19" s="88" t="s">
        <v>534</v>
      </c>
      <c r="C19" s="88" t="s">
        <v>535</v>
      </c>
      <c r="D19" s="88" t="s">
        <v>422</v>
      </c>
      <c r="E19" s="8" t="s">
        <v>536</v>
      </c>
      <c r="F19" s="518">
        <v>3786504</v>
      </c>
      <c r="G19" s="518">
        <v>3714879.49</v>
      </c>
    </row>
    <row r="20" spans="1:7" ht="27" customHeight="1">
      <c r="A20" s="83">
        <v>3</v>
      </c>
      <c r="B20" s="88" t="s">
        <v>566</v>
      </c>
      <c r="C20" s="8" t="s">
        <v>565</v>
      </c>
      <c r="D20" s="88" t="s">
        <v>422</v>
      </c>
      <c r="E20" s="520" t="s">
        <v>564</v>
      </c>
      <c r="F20" s="521">
        <v>140656</v>
      </c>
      <c r="G20" s="518">
        <v>70328</v>
      </c>
    </row>
    <row r="21" spans="1:7" ht="27" customHeight="1">
      <c r="A21" s="83">
        <v>4</v>
      </c>
      <c r="B21" s="88" t="s">
        <v>399</v>
      </c>
      <c r="C21" s="88" t="s">
        <v>562</v>
      </c>
      <c r="D21" s="88" t="s">
        <v>422</v>
      </c>
      <c r="E21" s="8" t="s">
        <v>437</v>
      </c>
      <c r="F21" s="518">
        <v>3580768.14</v>
      </c>
      <c r="G21" s="524">
        <v>1995492.92</v>
      </c>
    </row>
    <row r="22" spans="1:7" ht="27" customHeight="1">
      <c r="A22" s="83">
        <v>5</v>
      </c>
      <c r="B22" s="88" t="s">
        <v>443</v>
      </c>
      <c r="C22" s="88" t="s">
        <v>444</v>
      </c>
      <c r="D22" s="88" t="s">
        <v>422</v>
      </c>
      <c r="E22" s="8" t="s">
        <v>437</v>
      </c>
      <c r="F22" s="518">
        <v>1667881.45</v>
      </c>
      <c r="G22" s="524">
        <v>902000</v>
      </c>
    </row>
    <row r="23" spans="1:7" ht="27" customHeight="1">
      <c r="A23" s="83">
        <v>6</v>
      </c>
      <c r="B23" s="88" t="s">
        <v>398</v>
      </c>
      <c r="C23" s="88" t="s">
        <v>436</v>
      </c>
      <c r="D23" s="88" t="s">
        <v>433</v>
      </c>
      <c r="E23" s="8" t="s">
        <v>537</v>
      </c>
      <c r="F23" s="518">
        <v>16051043</v>
      </c>
      <c r="G23" s="524">
        <v>6152579.96</v>
      </c>
    </row>
    <row r="24" spans="1:7" ht="27" customHeight="1">
      <c r="A24" s="83">
        <v>7</v>
      </c>
      <c r="B24" s="88" t="s">
        <v>431</v>
      </c>
      <c r="C24" s="88" t="s">
        <v>432</v>
      </c>
      <c r="D24" s="88" t="s">
        <v>433</v>
      </c>
      <c r="E24" s="8" t="s">
        <v>423</v>
      </c>
      <c r="F24" s="518">
        <v>7462293</v>
      </c>
      <c r="G24" s="524">
        <v>3674393.58</v>
      </c>
    </row>
    <row r="25" spans="1:7" s="354" customFormat="1" ht="14.25" customHeight="1">
      <c r="A25" s="215"/>
      <c r="B25" s="525" t="s">
        <v>574</v>
      </c>
      <c r="C25" s="526"/>
      <c r="D25" s="526"/>
      <c r="E25" s="526"/>
      <c r="F25" s="526"/>
      <c r="G25" s="217">
        <v>17084173.95</v>
      </c>
    </row>
  </sheetData>
  <mergeCells count="18">
    <mergeCell ref="A2:F2"/>
    <mergeCell ref="A4:G4"/>
    <mergeCell ref="E5:E7"/>
    <mergeCell ref="F5:F7"/>
    <mergeCell ref="G6:G7"/>
    <mergeCell ref="A5:A7"/>
    <mergeCell ref="B5:B7"/>
    <mergeCell ref="C5:C7"/>
    <mergeCell ref="D5:D7"/>
    <mergeCell ref="A14:G14"/>
    <mergeCell ref="A12:F12"/>
    <mergeCell ref="E15:E17"/>
    <mergeCell ref="F15:F17"/>
    <mergeCell ref="G16:G17"/>
    <mergeCell ref="A15:A17"/>
    <mergeCell ref="B15:B17"/>
    <mergeCell ref="C15:C17"/>
    <mergeCell ref="D15:D17"/>
  </mergeCells>
  <printOptions/>
  <pageMargins left="0.75" right="0.75" top="0.27" bottom="0.66" header="0.2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9"/>
  <sheetViews>
    <sheetView showGridLines="0" workbookViewId="0" topLeftCell="A47">
      <selection activeCell="B112" sqref="B112"/>
    </sheetView>
  </sheetViews>
  <sheetFormatPr defaultColWidth="9.00390625" defaultRowHeight="12.75" customHeight="1"/>
  <cols>
    <col min="1" max="1" width="5.25390625" style="66" customWidth="1"/>
    <col min="2" max="2" width="41.875" style="66" customWidth="1"/>
    <col min="3" max="6" width="13.375" style="396" customWidth="1"/>
    <col min="7" max="7" width="1.37890625" style="396" hidden="1" customWidth="1"/>
    <col min="8" max="16384" width="9.125" style="112" customWidth="1"/>
  </cols>
  <sheetData>
    <row r="1" spans="1:7" ht="12.75" customHeight="1">
      <c r="A1" s="248"/>
      <c r="B1" s="285"/>
      <c r="C1" s="404"/>
      <c r="D1" s="404"/>
      <c r="E1" s="404"/>
      <c r="F1" s="404"/>
      <c r="G1" s="403"/>
    </row>
    <row r="2" spans="1:7" ht="12.75" customHeight="1">
      <c r="A2" s="687" t="s">
        <v>477</v>
      </c>
      <c r="B2" s="687" t="s">
        <v>46</v>
      </c>
      <c r="C2" s="514" t="s">
        <v>476</v>
      </c>
      <c r="D2" s="514" t="s">
        <v>476</v>
      </c>
      <c r="E2" s="514" t="s">
        <v>476</v>
      </c>
      <c r="F2" s="405"/>
      <c r="G2" s="684"/>
    </row>
    <row r="3" spans="1:7" ht="12.75" customHeight="1">
      <c r="A3" s="687"/>
      <c r="B3" s="687"/>
      <c r="C3" s="149" t="s">
        <v>488</v>
      </c>
      <c r="D3" s="149" t="s">
        <v>554</v>
      </c>
      <c r="E3" s="149" t="s">
        <v>555</v>
      </c>
      <c r="F3" s="405"/>
      <c r="G3" s="685"/>
    </row>
    <row r="4" spans="1:7" ht="51" customHeight="1">
      <c r="A4" s="687"/>
      <c r="B4" s="687"/>
      <c r="C4" s="238"/>
      <c r="D4" s="238"/>
      <c r="E4" s="238"/>
      <c r="F4" s="405"/>
      <c r="G4" s="686"/>
    </row>
    <row r="5" spans="2:7" ht="12" customHeight="1" hidden="1">
      <c r="B5" s="331"/>
      <c r="G5" s="399"/>
    </row>
    <row r="6" spans="2:7" ht="12" customHeight="1" hidden="1">
      <c r="B6" s="332" t="s">
        <v>304</v>
      </c>
      <c r="G6" s="135"/>
    </row>
    <row r="7" spans="2:7" ht="12" customHeight="1" hidden="1">
      <c r="B7" s="332" t="s">
        <v>338</v>
      </c>
      <c r="G7" s="399"/>
    </row>
    <row r="8" spans="2:7" ht="12" customHeight="1" hidden="1">
      <c r="B8" s="332" t="s">
        <v>339</v>
      </c>
      <c r="G8" s="135"/>
    </row>
    <row r="9" spans="2:7" ht="12" customHeight="1" hidden="1">
      <c r="B9" s="332" t="s">
        <v>341</v>
      </c>
      <c r="G9" s="399"/>
    </row>
    <row r="10" spans="2:7" ht="12" customHeight="1" hidden="1">
      <c r="B10" s="331"/>
      <c r="G10" s="137"/>
    </row>
    <row r="11" spans="2:7" ht="12" customHeight="1" hidden="1">
      <c r="B11" s="331"/>
      <c r="G11" s="137"/>
    </row>
    <row r="12" spans="2:7" ht="12" customHeight="1" hidden="1">
      <c r="B12" s="330"/>
      <c r="G12" s="135"/>
    </row>
    <row r="13" spans="2:7" ht="12" customHeight="1" hidden="1">
      <c r="B13" s="333" t="s">
        <v>334</v>
      </c>
      <c r="G13" s="399"/>
    </row>
    <row r="14" spans="2:7" ht="12" customHeight="1" hidden="1">
      <c r="B14" s="333" t="s">
        <v>63</v>
      </c>
      <c r="G14" s="135"/>
    </row>
    <row r="15" spans="2:7" ht="12" customHeight="1" hidden="1">
      <c r="B15" s="333" t="s">
        <v>335</v>
      </c>
      <c r="G15" s="398"/>
    </row>
    <row r="16" spans="2:7" ht="12" customHeight="1" hidden="1">
      <c r="B16" s="333" t="s">
        <v>340</v>
      </c>
      <c r="G16" s="145"/>
    </row>
    <row r="17" spans="2:7" ht="12" customHeight="1" hidden="1">
      <c r="B17" s="333" t="s">
        <v>94</v>
      </c>
      <c r="G17" s="137"/>
    </row>
    <row r="18" spans="2:7" ht="12" customHeight="1" hidden="1">
      <c r="B18" s="334"/>
      <c r="G18" s="137"/>
    </row>
    <row r="19" spans="2:7" ht="12" customHeight="1" hidden="1">
      <c r="B19" s="331"/>
      <c r="G19" s="135"/>
    </row>
    <row r="20" ht="12" customHeight="1" hidden="1">
      <c r="G20" s="397"/>
    </row>
    <row r="21" spans="2:7" ht="12" customHeight="1" hidden="1">
      <c r="B21" s="66" t="e">
        <f>#REF!</f>
        <v>#REF!</v>
      </c>
      <c r="G21" s="401"/>
    </row>
    <row r="22" spans="2:7" ht="12" customHeight="1" hidden="1">
      <c r="B22" s="66" t="e">
        <f>#REF!</f>
        <v>#REF!</v>
      </c>
      <c r="G22" s="400"/>
    </row>
    <row r="23" ht="12" customHeight="1" hidden="1">
      <c r="G23" s="398"/>
    </row>
    <row r="24" ht="12" customHeight="1" hidden="1">
      <c r="G24" s="401"/>
    </row>
    <row r="25" ht="12" customHeight="1" hidden="1">
      <c r="G25" s="400"/>
    </row>
    <row r="26" spans="2:7" ht="12" customHeight="1" hidden="1">
      <c r="B26" s="66" t="e">
        <f>#REF!</f>
        <v>#REF!</v>
      </c>
      <c r="G26" s="138"/>
    </row>
    <row r="27" ht="12" customHeight="1" hidden="1">
      <c r="G27" s="138"/>
    </row>
    <row r="28" ht="12" customHeight="1" hidden="1">
      <c r="G28" s="138"/>
    </row>
    <row r="29" spans="1:7" ht="12" customHeight="1">
      <c r="A29" s="280">
        <v>400</v>
      </c>
      <c r="B29" s="281" t="s">
        <v>107</v>
      </c>
      <c r="C29" s="399">
        <f>C30+C32</f>
        <v>4289379.49</v>
      </c>
      <c r="D29" s="399">
        <f>D30+D32</f>
        <v>574500</v>
      </c>
      <c r="E29" s="399">
        <f>E30+E32</f>
        <v>3714879.49</v>
      </c>
      <c r="G29" s="399"/>
    </row>
    <row r="30" spans="1:7" ht="12" customHeight="1">
      <c r="A30" s="120">
        <v>40001</v>
      </c>
      <c r="B30" s="121" t="s">
        <v>400</v>
      </c>
      <c r="C30" s="137">
        <f>C31</f>
        <v>574500</v>
      </c>
      <c r="D30" s="137">
        <f>D31</f>
        <v>574500</v>
      </c>
      <c r="E30" s="137">
        <f>E31</f>
        <v>0</v>
      </c>
      <c r="G30" s="137"/>
    </row>
    <row r="31" spans="1:7" ht="25.5" customHeight="1">
      <c r="A31" s="120"/>
      <c r="B31" s="121" t="s">
        <v>490</v>
      </c>
      <c r="C31" s="145">
        <v>574500</v>
      </c>
      <c r="D31" s="145">
        <v>574500</v>
      </c>
      <c r="E31" s="145"/>
      <c r="G31" s="137"/>
    </row>
    <row r="32" spans="1:7" ht="12" customHeight="1">
      <c r="A32" s="120">
        <v>40002</v>
      </c>
      <c r="B32" s="121" t="s">
        <v>116</v>
      </c>
      <c r="C32" s="137">
        <f>C33</f>
        <v>3714879.49</v>
      </c>
      <c r="D32" s="137">
        <f>D33</f>
        <v>0</v>
      </c>
      <c r="E32" s="137">
        <f>E33</f>
        <v>3714879.49</v>
      </c>
      <c r="G32" s="137"/>
    </row>
    <row r="33" spans="1:7" ht="25.5" customHeight="1">
      <c r="A33" s="191"/>
      <c r="B33" s="206" t="s">
        <v>491</v>
      </c>
      <c r="C33" s="409">
        <v>3714879.49</v>
      </c>
      <c r="D33" s="409"/>
      <c r="E33" s="409">
        <v>3714879.49</v>
      </c>
      <c r="G33" s="137"/>
    </row>
    <row r="34" spans="1:7" ht="12" customHeight="1">
      <c r="A34" s="280">
        <v>600</v>
      </c>
      <c r="B34" s="280" t="s">
        <v>48</v>
      </c>
      <c r="C34" s="399">
        <f>C35+C37+C39</f>
        <v>2709430</v>
      </c>
      <c r="D34" s="399">
        <f>D35+D37+D39</f>
        <v>2198430</v>
      </c>
      <c r="E34" s="399">
        <f>E35+E37+E39</f>
        <v>511000</v>
      </c>
      <c r="G34" s="399"/>
    </row>
    <row r="35" spans="1:7" ht="12" customHeight="1">
      <c r="A35" s="120">
        <v>60013</v>
      </c>
      <c r="B35" s="120" t="s">
        <v>275</v>
      </c>
      <c r="C35" s="137">
        <f>C36</f>
        <v>100000</v>
      </c>
      <c r="D35" s="137">
        <f>D36</f>
        <v>100000</v>
      </c>
      <c r="E35" s="137">
        <f>E36</f>
        <v>0</v>
      </c>
      <c r="G35" s="135"/>
    </row>
    <row r="36" spans="1:7" ht="51.75" customHeight="1">
      <c r="A36" s="120"/>
      <c r="B36" s="120" t="s">
        <v>527</v>
      </c>
      <c r="C36" s="137">
        <v>100000</v>
      </c>
      <c r="D36" s="137">
        <v>100000</v>
      </c>
      <c r="E36" s="137"/>
      <c r="G36" s="137"/>
    </row>
    <row r="37" spans="1:7" ht="12" customHeight="1">
      <c r="A37" s="120">
        <v>60014</v>
      </c>
      <c r="B37" s="120" t="s">
        <v>446</v>
      </c>
      <c r="C37" s="137">
        <f>C38</f>
        <v>50000</v>
      </c>
      <c r="D37" s="137">
        <f>D38</f>
        <v>0</v>
      </c>
      <c r="E37" s="137">
        <f>E38</f>
        <v>50000</v>
      </c>
      <c r="G37" s="398"/>
    </row>
    <row r="38" spans="1:7" ht="52.5" customHeight="1">
      <c r="A38" s="120"/>
      <c r="B38" s="120" t="s">
        <v>528</v>
      </c>
      <c r="C38" s="137">
        <v>50000</v>
      </c>
      <c r="D38" s="137"/>
      <c r="E38" s="137">
        <v>50000</v>
      </c>
      <c r="G38" s="397"/>
    </row>
    <row r="39" spans="1:7" ht="12" customHeight="1">
      <c r="A39" s="120">
        <v>60016</v>
      </c>
      <c r="B39" s="120" t="s">
        <v>68</v>
      </c>
      <c r="C39" s="137">
        <f>C40+SUM(C41:C51)</f>
        <v>2559430</v>
      </c>
      <c r="D39" s="137">
        <f>D40+SUM(D41:D51)</f>
        <v>2098430</v>
      </c>
      <c r="E39" s="137">
        <f>E40+SUM(E41:E51)</f>
        <v>461000</v>
      </c>
      <c r="G39" s="131"/>
    </row>
    <row r="40" spans="1:7" ht="26.25" customHeight="1">
      <c r="A40" s="120"/>
      <c r="B40" s="402" t="s">
        <v>480</v>
      </c>
      <c r="C40" s="237">
        <v>120000</v>
      </c>
      <c r="D40" s="237">
        <v>120000</v>
      </c>
      <c r="E40" s="237"/>
      <c r="G40" s="131"/>
    </row>
    <row r="41" spans="1:7" ht="12" customHeight="1">
      <c r="A41" s="120"/>
      <c r="B41" s="402" t="s">
        <v>479</v>
      </c>
      <c r="C41" s="410">
        <v>45000</v>
      </c>
      <c r="D41" s="410">
        <v>45000</v>
      </c>
      <c r="E41" s="410"/>
      <c r="G41" s="131"/>
    </row>
    <row r="42" spans="1:7" ht="12" customHeight="1">
      <c r="A42" s="120"/>
      <c r="B42" s="402" t="s">
        <v>489</v>
      </c>
      <c r="C42" s="410">
        <v>80000</v>
      </c>
      <c r="D42" s="410">
        <v>80000</v>
      </c>
      <c r="E42" s="410"/>
      <c r="G42" s="131"/>
    </row>
    <row r="43" spans="1:7" ht="12" customHeight="1">
      <c r="A43" s="120"/>
      <c r="B43" s="402" t="s">
        <v>481</v>
      </c>
      <c r="C43" s="410">
        <v>150000</v>
      </c>
      <c r="D43" s="410">
        <v>150000</v>
      </c>
      <c r="E43" s="410"/>
      <c r="G43" s="131"/>
    </row>
    <row r="44" spans="1:7" ht="12" customHeight="1">
      <c r="A44" s="120"/>
      <c r="B44" s="402" t="s">
        <v>380</v>
      </c>
      <c r="C44" s="410">
        <v>40000</v>
      </c>
      <c r="D44" s="410">
        <v>40000</v>
      </c>
      <c r="E44" s="410"/>
      <c r="G44" s="131"/>
    </row>
    <row r="45" spans="1:7" ht="27" customHeight="1">
      <c r="A45" s="120"/>
      <c r="B45" s="402" t="s">
        <v>410</v>
      </c>
      <c r="C45" s="410">
        <v>1663430</v>
      </c>
      <c r="D45" s="410">
        <v>1663430</v>
      </c>
      <c r="E45" s="410"/>
      <c r="G45" s="131"/>
    </row>
    <row r="46" spans="1:7" ht="12" customHeight="1">
      <c r="A46" s="120"/>
      <c r="B46" s="80" t="s">
        <v>333</v>
      </c>
      <c r="C46" s="111">
        <v>100000</v>
      </c>
      <c r="D46" s="111"/>
      <c r="E46" s="111">
        <v>100000</v>
      </c>
      <c r="G46" s="131"/>
    </row>
    <row r="47" spans="1:7" ht="12" customHeight="1">
      <c r="A47" s="120"/>
      <c r="B47" s="289" t="s">
        <v>332</v>
      </c>
      <c r="C47" s="111">
        <v>72000</v>
      </c>
      <c r="D47" s="111"/>
      <c r="E47" s="111">
        <v>72000</v>
      </c>
      <c r="G47" s="131"/>
    </row>
    <row r="48" spans="1:7" ht="12" customHeight="1">
      <c r="A48" s="120"/>
      <c r="B48" s="289" t="s">
        <v>385</v>
      </c>
      <c r="C48" s="410">
        <v>104000</v>
      </c>
      <c r="D48" s="410"/>
      <c r="E48" s="410">
        <v>104000</v>
      </c>
      <c r="G48" s="131"/>
    </row>
    <row r="49" spans="1:7" ht="12" customHeight="1">
      <c r="A49" s="120"/>
      <c r="B49" s="289" t="s">
        <v>478</v>
      </c>
      <c r="C49" s="410">
        <v>80000</v>
      </c>
      <c r="D49" s="410"/>
      <c r="E49" s="410">
        <v>80000</v>
      </c>
      <c r="G49" s="131"/>
    </row>
    <row r="50" spans="1:7" ht="12" customHeight="1">
      <c r="A50" s="120"/>
      <c r="B50" s="289" t="s">
        <v>277</v>
      </c>
      <c r="C50" s="410">
        <f>40000+30000+20000</f>
        <v>90000</v>
      </c>
      <c r="D50" s="410"/>
      <c r="E50" s="410">
        <f>40000+30000+20000</f>
        <v>90000</v>
      </c>
      <c r="G50" s="131"/>
    </row>
    <row r="51" spans="1:7" ht="40.5" customHeight="1">
      <c r="A51" s="191"/>
      <c r="B51" s="191" t="s">
        <v>486</v>
      </c>
      <c r="C51" s="409">
        <v>15000</v>
      </c>
      <c r="D51" s="409"/>
      <c r="E51" s="409">
        <v>15000</v>
      </c>
      <c r="G51" s="131"/>
    </row>
    <row r="52" spans="1:7" ht="12" customHeight="1">
      <c r="A52" s="280">
        <v>700</v>
      </c>
      <c r="B52" s="281" t="s">
        <v>50</v>
      </c>
      <c r="C52" s="399">
        <f>C53</f>
        <v>462850</v>
      </c>
      <c r="D52" s="399">
        <f>D53</f>
        <v>462850</v>
      </c>
      <c r="E52" s="399">
        <f>E53</f>
        <v>0</v>
      </c>
      <c r="G52" s="135"/>
    </row>
    <row r="53" spans="1:7" ht="12" customHeight="1">
      <c r="A53" s="120">
        <v>70005</v>
      </c>
      <c r="B53" s="121" t="s">
        <v>70</v>
      </c>
      <c r="C53" s="137">
        <f>C54+C55+C56</f>
        <v>462850</v>
      </c>
      <c r="D53" s="137">
        <f>D54+D55+D56</f>
        <v>462850</v>
      </c>
      <c r="E53" s="137">
        <f>E54+E55+E56</f>
        <v>0</v>
      </c>
      <c r="G53" s="135"/>
    </row>
    <row r="54" spans="1:7" ht="12" customHeight="1">
      <c r="A54" s="120"/>
      <c r="B54" s="121" t="s">
        <v>484</v>
      </c>
      <c r="C54" s="137">
        <v>34000</v>
      </c>
      <c r="D54" s="137">
        <v>34000</v>
      </c>
      <c r="E54" s="137"/>
      <c r="G54" s="137"/>
    </row>
    <row r="55" spans="1:7" ht="12" customHeight="1">
      <c r="A55" s="120"/>
      <c r="B55" s="121" t="s">
        <v>485</v>
      </c>
      <c r="C55" s="137">
        <v>18000</v>
      </c>
      <c r="D55" s="137">
        <v>18000</v>
      </c>
      <c r="E55" s="137"/>
      <c r="G55" s="137"/>
    </row>
    <row r="56" spans="1:7" ht="27.75" customHeight="1">
      <c r="A56" s="120"/>
      <c r="B56" s="206" t="s">
        <v>408</v>
      </c>
      <c r="C56" s="279">
        <v>410850</v>
      </c>
      <c r="D56" s="279">
        <v>410850</v>
      </c>
      <c r="E56" s="279"/>
      <c r="G56" s="137"/>
    </row>
    <row r="57" spans="1:7" s="85" customFormat="1" ht="12.75" customHeight="1">
      <c r="A57" s="281">
        <v>720</v>
      </c>
      <c r="B57" s="285" t="s">
        <v>493</v>
      </c>
      <c r="C57" s="417">
        <f aca="true" t="shared" si="0" ref="C57:E58">C58</f>
        <v>70328</v>
      </c>
      <c r="D57" s="417">
        <f t="shared" si="0"/>
        <v>70328</v>
      </c>
      <c r="E57" s="417">
        <f t="shared" si="0"/>
        <v>0</v>
      </c>
      <c r="F57" s="418"/>
      <c r="G57" s="131"/>
    </row>
    <row r="58" spans="1:7" ht="12.75" customHeight="1">
      <c r="A58" s="121">
        <v>72095</v>
      </c>
      <c r="B58" s="248" t="s">
        <v>66</v>
      </c>
      <c r="C58" s="237">
        <f t="shared" si="0"/>
        <v>70328</v>
      </c>
      <c r="D58" s="237">
        <f t="shared" si="0"/>
        <v>70328</v>
      </c>
      <c r="E58" s="237">
        <f t="shared" si="0"/>
        <v>0</v>
      </c>
      <c r="G58" s="137"/>
    </row>
    <row r="59" spans="1:7" ht="12.75" customHeight="1">
      <c r="A59" s="121"/>
      <c r="B59" s="248" t="s">
        <v>386</v>
      </c>
      <c r="C59" s="237">
        <v>70328</v>
      </c>
      <c r="D59" s="237">
        <v>70328</v>
      </c>
      <c r="E59" s="237"/>
      <c r="G59" s="137"/>
    </row>
    <row r="60" spans="1:7" ht="51.75" customHeight="1">
      <c r="A60" s="206"/>
      <c r="B60" s="248" t="s">
        <v>515</v>
      </c>
      <c r="C60" s="237"/>
      <c r="D60" s="237"/>
      <c r="E60" s="237"/>
      <c r="G60" s="137"/>
    </row>
    <row r="61" spans="1:7" ht="12" customHeight="1">
      <c r="A61" s="282">
        <v>750</v>
      </c>
      <c r="B61" s="284" t="s">
        <v>51</v>
      </c>
      <c r="C61" s="399">
        <f>C62</f>
        <v>200000</v>
      </c>
      <c r="D61" s="399">
        <f>D62</f>
        <v>200000</v>
      </c>
      <c r="E61" s="399">
        <f>E62</f>
        <v>0</v>
      </c>
      <c r="G61" s="137"/>
    </row>
    <row r="62" spans="1:7" ht="13.5" customHeight="1">
      <c r="A62" s="283">
        <v>75023</v>
      </c>
      <c r="B62" s="248" t="s">
        <v>75</v>
      </c>
      <c r="C62" s="141">
        <f>C64+C63</f>
        <v>200000</v>
      </c>
      <c r="D62" s="141">
        <f>D64+D63</f>
        <v>200000</v>
      </c>
      <c r="E62" s="141">
        <f>E64+E63</f>
        <v>0</v>
      </c>
      <c r="G62" s="131"/>
    </row>
    <row r="63" spans="1:7" ht="12" customHeight="1">
      <c r="A63" s="283"/>
      <c r="B63" s="248" t="s">
        <v>212</v>
      </c>
      <c r="C63" s="137">
        <v>50000</v>
      </c>
      <c r="D63" s="137">
        <v>50000</v>
      </c>
      <c r="E63" s="137"/>
      <c r="G63" s="131"/>
    </row>
    <row r="64" spans="1:7" ht="12" customHeight="1">
      <c r="A64" s="286"/>
      <c r="B64" s="287" t="s">
        <v>402</v>
      </c>
      <c r="C64" s="279">
        <v>150000</v>
      </c>
      <c r="D64" s="279">
        <v>150000</v>
      </c>
      <c r="E64" s="279"/>
      <c r="G64" s="135"/>
    </row>
    <row r="65" spans="1:7" ht="12" customHeight="1">
      <c r="A65" s="687" t="s">
        <v>477</v>
      </c>
      <c r="B65" s="687" t="s">
        <v>46</v>
      </c>
      <c r="C65" s="151" t="s">
        <v>476</v>
      </c>
      <c r="D65" s="514" t="s">
        <v>476</v>
      </c>
      <c r="E65" s="151" t="s">
        <v>476</v>
      </c>
      <c r="G65" s="137"/>
    </row>
    <row r="66" spans="1:7" ht="12" customHeight="1">
      <c r="A66" s="687"/>
      <c r="B66" s="687"/>
      <c r="C66" s="149" t="s">
        <v>488</v>
      </c>
      <c r="D66" s="149" t="s">
        <v>554</v>
      </c>
      <c r="E66" s="149" t="s">
        <v>555</v>
      </c>
      <c r="G66" s="137"/>
    </row>
    <row r="67" spans="1:7" ht="51" customHeight="1">
      <c r="A67" s="688"/>
      <c r="B67" s="688"/>
      <c r="C67" s="238"/>
      <c r="D67" s="238"/>
      <c r="E67" s="238"/>
      <c r="G67" s="137"/>
    </row>
    <row r="68" spans="1:7" ht="12.75" customHeight="1">
      <c r="A68" s="281">
        <v>801</v>
      </c>
      <c r="B68" s="421" t="s">
        <v>53</v>
      </c>
      <c r="C68" s="399">
        <f>C69+C72+C75</f>
        <v>992000</v>
      </c>
      <c r="D68" s="399">
        <f>D69+D72+D75</f>
        <v>852000</v>
      </c>
      <c r="E68" s="399">
        <f>E69+E72+E75</f>
        <v>140000</v>
      </c>
      <c r="G68" s="137"/>
    </row>
    <row r="69" spans="1:7" ht="12.75" customHeight="1">
      <c r="A69" s="121">
        <v>80101</v>
      </c>
      <c r="B69" s="415" t="s">
        <v>81</v>
      </c>
      <c r="C69" s="137">
        <f>C70+C71</f>
        <v>270000</v>
      </c>
      <c r="D69" s="137">
        <f>D70+D71</f>
        <v>130000</v>
      </c>
      <c r="E69" s="137">
        <f>E70+E71</f>
        <v>140000</v>
      </c>
      <c r="G69" s="137"/>
    </row>
    <row r="70" spans="1:7" ht="12.75" customHeight="1">
      <c r="A70" s="121"/>
      <c r="B70" s="415" t="s">
        <v>482</v>
      </c>
      <c r="C70" s="237">
        <v>130000</v>
      </c>
      <c r="D70" s="237">
        <v>130000</v>
      </c>
      <c r="E70" s="237"/>
      <c r="G70" s="137"/>
    </row>
    <row r="71" spans="1:7" ht="12.75" customHeight="1">
      <c r="A71" s="121"/>
      <c r="B71" s="415" t="s">
        <v>387</v>
      </c>
      <c r="C71" s="237">
        <v>140000</v>
      </c>
      <c r="D71" s="237"/>
      <c r="E71" s="237">
        <v>140000</v>
      </c>
      <c r="G71" s="135"/>
    </row>
    <row r="72" spans="1:7" ht="12.75" customHeight="1">
      <c r="A72" s="121">
        <v>80104</v>
      </c>
      <c r="B72" s="415" t="s">
        <v>224</v>
      </c>
      <c r="C72" s="137">
        <f>C73+C74</f>
        <v>687000</v>
      </c>
      <c r="D72" s="137">
        <f>D73+D74</f>
        <v>687000</v>
      </c>
      <c r="E72" s="137">
        <f>E73+E74</f>
        <v>0</v>
      </c>
      <c r="G72" s="399"/>
    </row>
    <row r="73" spans="1:7" ht="12.75" customHeight="1">
      <c r="A73" s="121"/>
      <c r="B73" s="415" t="s">
        <v>483</v>
      </c>
      <c r="C73" s="395">
        <v>137000</v>
      </c>
      <c r="D73" s="395">
        <v>137000</v>
      </c>
      <c r="E73" s="395"/>
      <c r="G73" s="137"/>
    </row>
    <row r="74" spans="1:7" ht="51" customHeight="1">
      <c r="A74" s="121"/>
      <c r="B74" s="415" t="s">
        <v>376</v>
      </c>
      <c r="C74" s="145">
        <v>550000</v>
      </c>
      <c r="D74" s="145">
        <v>550000</v>
      </c>
      <c r="E74" s="145"/>
      <c r="G74" s="137"/>
    </row>
    <row r="75" spans="1:7" ht="12.75" customHeight="1">
      <c r="A75" s="121">
        <v>80195</v>
      </c>
      <c r="B75" s="415" t="s">
        <v>106</v>
      </c>
      <c r="C75" s="407">
        <f>C76</f>
        <v>35000</v>
      </c>
      <c r="D75" s="407">
        <f>D76</f>
        <v>35000</v>
      </c>
      <c r="E75" s="407">
        <f>E76</f>
        <v>0</v>
      </c>
      <c r="G75" s="210"/>
    </row>
    <row r="76" spans="1:7" ht="12.75" customHeight="1">
      <c r="A76" s="206"/>
      <c r="B76" s="420" t="s">
        <v>212</v>
      </c>
      <c r="C76" s="408">
        <v>35000</v>
      </c>
      <c r="D76" s="408">
        <v>35000</v>
      </c>
      <c r="E76" s="408"/>
      <c r="G76" s="210"/>
    </row>
    <row r="77" spans="1:5" ht="12.75" customHeight="1">
      <c r="A77" s="288">
        <v>900</v>
      </c>
      <c r="B77" s="288" t="s">
        <v>54</v>
      </c>
      <c r="C77" s="399">
        <f>C78+C97</f>
        <v>2270924.21</v>
      </c>
      <c r="D77" s="399">
        <f>D78+D97</f>
        <v>2050492.92</v>
      </c>
      <c r="E77" s="399">
        <f>E78+E97</f>
        <v>220431.29</v>
      </c>
    </row>
    <row r="78" spans="1:5" ht="12.75" customHeight="1">
      <c r="A78" s="120">
        <v>90015</v>
      </c>
      <c r="B78" s="120" t="s">
        <v>97</v>
      </c>
      <c r="C78" s="137">
        <f>SUM(C79:C96)</f>
        <v>265183.29</v>
      </c>
      <c r="D78" s="137">
        <f>SUM(D79:D96)</f>
        <v>55000</v>
      </c>
      <c r="E78" s="137">
        <f>SUM(E79:E96)</f>
        <v>210183.29</v>
      </c>
    </row>
    <row r="79" spans="1:5" ht="12.75" customHeight="1">
      <c r="A79" s="120"/>
      <c r="B79" s="120" t="s">
        <v>388</v>
      </c>
      <c r="C79" s="410">
        <v>20000</v>
      </c>
      <c r="D79" s="410"/>
      <c r="E79" s="410">
        <v>20000</v>
      </c>
    </row>
    <row r="80" spans="1:5" ht="12.75" customHeight="1">
      <c r="A80" s="120"/>
      <c r="B80" s="120" t="s">
        <v>389</v>
      </c>
      <c r="C80" s="410">
        <v>20000</v>
      </c>
      <c r="D80" s="410"/>
      <c r="E80" s="410">
        <v>20000</v>
      </c>
    </row>
    <row r="81" spans="1:5" ht="12.75" customHeight="1">
      <c r="A81" s="120"/>
      <c r="B81" s="120" t="s">
        <v>390</v>
      </c>
      <c r="C81" s="410">
        <v>10000</v>
      </c>
      <c r="D81" s="410"/>
      <c r="E81" s="410">
        <v>10000</v>
      </c>
    </row>
    <row r="82" spans="1:5" ht="12.75" customHeight="1">
      <c r="A82" s="120"/>
      <c r="B82" s="120" t="s">
        <v>391</v>
      </c>
      <c r="C82" s="410">
        <v>10000</v>
      </c>
      <c r="D82" s="410"/>
      <c r="E82" s="410">
        <v>10000</v>
      </c>
    </row>
    <row r="83" spans="1:5" ht="12.75" customHeight="1">
      <c r="A83" s="120"/>
      <c r="B83" s="120" t="s">
        <v>392</v>
      </c>
      <c r="C83" s="410">
        <v>15000</v>
      </c>
      <c r="D83" s="410"/>
      <c r="E83" s="410">
        <v>15000</v>
      </c>
    </row>
    <row r="84" spans="1:5" ht="12.75" customHeight="1">
      <c r="A84" s="120"/>
      <c r="B84" s="120" t="s">
        <v>394</v>
      </c>
      <c r="C84" s="410">
        <v>15000</v>
      </c>
      <c r="D84" s="410">
        <v>15000</v>
      </c>
      <c r="E84" s="410"/>
    </row>
    <row r="85" spans="1:5" ht="12.75" customHeight="1">
      <c r="A85" s="120"/>
      <c r="B85" s="120" t="s">
        <v>393</v>
      </c>
      <c r="C85" s="410">
        <v>10000</v>
      </c>
      <c r="D85" s="410"/>
      <c r="E85" s="410">
        <v>10000</v>
      </c>
    </row>
    <row r="86" spans="1:5" ht="12.75" customHeight="1">
      <c r="A86" s="120"/>
      <c r="B86" s="120" t="s">
        <v>395</v>
      </c>
      <c r="C86" s="410">
        <v>20000</v>
      </c>
      <c r="D86" s="410"/>
      <c r="E86" s="410">
        <v>20000</v>
      </c>
    </row>
    <row r="87" spans="1:5" ht="12.75" customHeight="1">
      <c r="A87" s="120"/>
      <c r="B87" s="120" t="s">
        <v>509</v>
      </c>
      <c r="C87" s="410">
        <f>15000+10000</f>
        <v>25000</v>
      </c>
      <c r="D87" s="410"/>
      <c r="E87" s="410">
        <f>15000+10000</f>
        <v>25000</v>
      </c>
    </row>
    <row r="88" spans="1:5" ht="12.75" customHeight="1">
      <c r="A88" s="120"/>
      <c r="B88" s="120" t="s">
        <v>510</v>
      </c>
      <c r="C88" s="410">
        <v>15000</v>
      </c>
      <c r="D88" s="410"/>
      <c r="E88" s="410">
        <v>15000</v>
      </c>
    </row>
    <row r="89" spans="1:5" ht="12.75" customHeight="1">
      <c r="A89" s="120"/>
      <c r="B89" s="120" t="s">
        <v>511</v>
      </c>
      <c r="C89" s="410">
        <v>15000</v>
      </c>
      <c r="D89" s="410"/>
      <c r="E89" s="410">
        <v>15000</v>
      </c>
    </row>
    <row r="90" spans="1:5" ht="12.75" customHeight="1">
      <c r="A90" s="120"/>
      <c r="B90" s="120" t="s">
        <v>512</v>
      </c>
      <c r="C90" s="410">
        <v>15000</v>
      </c>
      <c r="D90" s="410"/>
      <c r="E90" s="410">
        <v>15000</v>
      </c>
    </row>
    <row r="91" spans="1:5" ht="12.75" customHeight="1">
      <c r="A91" s="120"/>
      <c r="B91" s="120" t="s">
        <v>513</v>
      </c>
      <c r="C91" s="410">
        <v>10000</v>
      </c>
      <c r="D91" s="410"/>
      <c r="E91" s="410">
        <v>10000</v>
      </c>
    </row>
    <row r="92" spans="1:5" ht="12.75" customHeight="1">
      <c r="A92" s="120"/>
      <c r="B92" s="120" t="s">
        <v>514</v>
      </c>
      <c r="C92" s="410">
        <v>10000</v>
      </c>
      <c r="D92" s="410"/>
      <c r="E92" s="410">
        <v>10000</v>
      </c>
    </row>
    <row r="93" spans="1:5" ht="12.75" customHeight="1">
      <c r="A93" s="120"/>
      <c r="B93" s="120" t="s">
        <v>396</v>
      </c>
      <c r="C93" s="410">
        <v>10000</v>
      </c>
      <c r="D93" s="410">
        <v>10000</v>
      </c>
      <c r="E93" s="410"/>
    </row>
    <row r="94" spans="1:5" ht="12.75" customHeight="1">
      <c r="A94" s="120"/>
      <c r="B94" s="120" t="s">
        <v>397</v>
      </c>
      <c r="C94" s="410">
        <v>10000</v>
      </c>
      <c r="D94" s="410">
        <v>10000</v>
      </c>
      <c r="E94" s="410"/>
    </row>
    <row r="95" spans="1:5" ht="12.75" customHeight="1">
      <c r="A95" s="120"/>
      <c r="B95" s="120" t="s">
        <v>508</v>
      </c>
      <c r="C95" s="410">
        <v>20000</v>
      </c>
      <c r="D95" s="410">
        <v>20000</v>
      </c>
      <c r="E95" s="410"/>
    </row>
    <row r="96" spans="1:5" ht="12.75" customHeight="1">
      <c r="A96" s="120"/>
      <c r="B96" s="120" t="s">
        <v>504</v>
      </c>
      <c r="C96" s="410">
        <v>15183.29</v>
      </c>
      <c r="D96" s="410"/>
      <c r="E96" s="410">
        <v>15183.29</v>
      </c>
    </row>
    <row r="97" spans="1:5" ht="12.75" customHeight="1">
      <c r="A97" s="120">
        <v>90095</v>
      </c>
      <c r="B97" s="120" t="s">
        <v>463</v>
      </c>
      <c r="C97" s="137">
        <f>C99+C98</f>
        <v>2005740.92</v>
      </c>
      <c r="D97" s="137">
        <f>D99+D98</f>
        <v>1995492.92</v>
      </c>
      <c r="E97" s="137">
        <f>E99+E98</f>
        <v>10248</v>
      </c>
    </row>
    <row r="98" spans="1:5" ht="12.75" customHeight="1">
      <c r="A98" s="120"/>
      <c r="B98" s="120" t="s">
        <v>507</v>
      </c>
      <c r="C98" s="137">
        <v>10248</v>
      </c>
      <c r="D98" s="137"/>
      <c r="E98" s="137">
        <v>10248</v>
      </c>
    </row>
    <row r="99" spans="1:5" ht="42" customHeight="1">
      <c r="A99" s="120"/>
      <c r="B99" s="120" t="s">
        <v>399</v>
      </c>
      <c r="C99" s="409">
        <v>1995492.92</v>
      </c>
      <c r="D99" s="409">
        <v>1995492.92</v>
      </c>
      <c r="E99" s="409"/>
    </row>
    <row r="100" spans="1:5" ht="12.75" customHeight="1">
      <c r="A100" s="280">
        <v>921</v>
      </c>
      <c r="B100" s="281" t="s">
        <v>55</v>
      </c>
      <c r="C100" s="399">
        <f>C101</f>
        <v>914212</v>
      </c>
      <c r="D100" s="399">
        <f>D101</f>
        <v>0</v>
      </c>
      <c r="E100" s="399">
        <f>E101</f>
        <v>914212</v>
      </c>
    </row>
    <row r="101" spans="1:5" ht="12.75" customHeight="1">
      <c r="A101" s="120">
        <v>92109</v>
      </c>
      <c r="B101" s="121" t="s">
        <v>98</v>
      </c>
      <c r="C101" s="137">
        <f>C102+C103+C104</f>
        <v>914212</v>
      </c>
      <c r="D101" s="137">
        <f>D102+D103+D104</f>
        <v>0</v>
      </c>
      <c r="E101" s="137">
        <f>E102+E103+E104</f>
        <v>914212</v>
      </c>
    </row>
    <row r="102" spans="1:5" ht="12.75" customHeight="1">
      <c r="A102" s="120"/>
      <c r="B102" s="121" t="s">
        <v>401</v>
      </c>
      <c r="C102" s="410">
        <v>902000</v>
      </c>
      <c r="D102" s="410"/>
      <c r="E102" s="410">
        <v>902000</v>
      </c>
    </row>
    <row r="103" spans="1:5" ht="12.75" customHeight="1">
      <c r="A103" s="120"/>
      <c r="B103" s="121" t="s">
        <v>505</v>
      </c>
      <c r="C103" s="410">
        <v>8712</v>
      </c>
      <c r="D103" s="410"/>
      <c r="E103" s="410">
        <v>8712</v>
      </c>
    </row>
    <row r="104" spans="1:5" ht="12.75" customHeight="1">
      <c r="A104" s="191"/>
      <c r="B104" s="206" t="s">
        <v>506</v>
      </c>
      <c r="C104" s="409">
        <v>3500</v>
      </c>
      <c r="D104" s="409"/>
      <c r="E104" s="409">
        <v>3500</v>
      </c>
    </row>
    <row r="105" spans="1:5" ht="12.75" customHeight="1">
      <c r="A105" s="288">
        <v>926</v>
      </c>
      <c r="B105" s="288" t="s">
        <v>100</v>
      </c>
      <c r="C105" s="131">
        <f>C106</f>
        <v>9826973.54</v>
      </c>
      <c r="D105" s="131">
        <f>D106</f>
        <v>9826973.54</v>
      </c>
      <c r="E105" s="131">
        <f>E106</f>
        <v>0</v>
      </c>
    </row>
    <row r="106" spans="1:5" ht="12.75" customHeight="1">
      <c r="A106" s="120">
        <v>92605</v>
      </c>
      <c r="B106" s="120" t="s">
        <v>137</v>
      </c>
      <c r="C106" s="137">
        <f>C107+C108</f>
        <v>9826973.54</v>
      </c>
      <c r="D106" s="137">
        <f>D107+D108</f>
        <v>9826973.54</v>
      </c>
      <c r="E106" s="137">
        <f>E107+E108</f>
        <v>0</v>
      </c>
    </row>
    <row r="107" spans="1:5" ht="40.5" customHeight="1">
      <c r="A107" s="120"/>
      <c r="B107" s="121" t="s">
        <v>398</v>
      </c>
      <c r="C107" s="410">
        <v>6152579.96</v>
      </c>
      <c r="D107" s="410">
        <v>6152579.96</v>
      </c>
      <c r="E107" s="410"/>
    </row>
    <row r="108" spans="1:5" ht="40.5" customHeight="1">
      <c r="A108" s="120"/>
      <c r="B108" s="121" t="s">
        <v>409</v>
      </c>
      <c r="C108" s="410">
        <v>3674393.58</v>
      </c>
      <c r="D108" s="410">
        <v>3674393.58</v>
      </c>
      <c r="E108" s="410"/>
    </row>
    <row r="109" spans="1:5" ht="12.75" customHeight="1">
      <c r="A109" s="154"/>
      <c r="B109" s="406" t="s">
        <v>487</v>
      </c>
      <c r="C109" s="411">
        <f>C105+C100+C77+C68+C61+C52+C34+C29+C57</f>
        <v>21736097.24</v>
      </c>
      <c r="D109" s="411">
        <f>D105+D100+D77+D68+D61+D52+D34+D29+D57</f>
        <v>16235574.46</v>
      </c>
      <c r="E109" s="515">
        <f>E105+E100+E77+E68+E61+E52+E34+E29+E57</f>
        <v>5500522.78</v>
      </c>
    </row>
  </sheetData>
  <mergeCells count="5">
    <mergeCell ref="G2:G4"/>
    <mergeCell ref="A2:A4"/>
    <mergeCell ref="B2:B4"/>
    <mergeCell ref="A65:A67"/>
    <mergeCell ref="B65:B67"/>
  </mergeCells>
  <printOptions/>
  <pageMargins left="0.49" right="0.1968503937007874" top="0.38" bottom="0.61" header="0.2362204724409449" footer="0.2362204724409449"/>
  <pageSetup horizontalDpi="600" verticalDpi="600" orientation="portrait" paperSize="9" r:id="rId1"/>
  <rowBreaks count="1" manualBreakCount="1">
    <brk id="6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20" zoomScaleNormal="120" workbookViewId="0" topLeftCell="A1">
      <selection activeCell="C29" sqref="C29"/>
    </sheetView>
  </sheetViews>
  <sheetFormatPr defaultColWidth="9.00390625" defaultRowHeight="12.75"/>
  <cols>
    <col min="1" max="1" width="15.125" style="460" customWidth="1"/>
    <col min="2" max="2" width="12.125" style="460" customWidth="1"/>
    <col min="3" max="3" width="9.25390625" style="460" customWidth="1"/>
    <col min="4" max="11" width="12.00390625" style="460" customWidth="1"/>
    <col min="12" max="12" width="13.375" style="200" bestFit="1" customWidth="1"/>
  </cols>
  <sheetData>
    <row r="1" spans="1:11" ht="16.5">
      <c r="A1" s="699" t="s">
        <v>11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</row>
    <row r="2" spans="1:11" ht="25.5">
      <c r="A2" s="470" t="s">
        <v>12</v>
      </c>
      <c r="B2" s="471" t="s">
        <v>32</v>
      </c>
      <c r="C2" s="472" t="s">
        <v>13</v>
      </c>
      <c r="D2" s="464">
        <v>2010</v>
      </c>
      <c r="E2" s="464">
        <v>2011</v>
      </c>
      <c r="F2" s="464">
        <v>2012</v>
      </c>
      <c r="G2" s="464">
        <v>2013</v>
      </c>
      <c r="H2" s="464">
        <v>2014</v>
      </c>
      <c r="I2" s="464">
        <v>2015</v>
      </c>
      <c r="J2" s="464">
        <v>2016</v>
      </c>
      <c r="K2" s="473" t="s">
        <v>56</v>
      </c>
    </row>
    <row r="3" spans="1:11" ht="13.5">
      <c r="A3" s="467" t="s">
        <v>14</v>
      </c>
      <c r="B3" s="697">
        <v>1501062.93</v>
      </c>
      <c r="C3" s="474" t="s">
        <v>15</v>
      </c>
      <c r="D3" s="465">
        <v>214436</v>
      </c>
      <c r="E3" s="465">
        <v>214436</v>
      </c>
      <c r="F3" s="465">
        <v>214436</v>
      </c>
      <c r="G3" s="465">
        <v>214436</v>
      </c>
      <c r="H3" s="465">
        <v>214436</v>
      </c>
      <c r="I3" s="465">
        <v>214436</v>
      </c>
      <c r="J3" s="465">
        <v>214446.93</v>
      </c>
      <c r="K3" s="475">
        <f aca="true" t="shared" si="0" ref="K3:K27">D3+E3+F3+G3+H3+I3+J3</f>
        <v>1501062.93</v>
      </c>
    </row>
    <row r="4" spans="1:11" ht="13.5">
      <c r="A4" s="469" t="s">
        <v>16</v>
      </c>
      <c r="B4" s="698"/>
      <c r="C4" s="474" t="s">
        <v>17</v>
      </c>
      <c r="D4" s="465">
        <v>55000</v>
      </c>
      <c r="E4" s="465">
        <v>50000</v>
      </c>
      <c r="F4" s="465">
        <v>45000</v>
      </c>
      <c r="G4" s="465">
        <v>40000</v>
      </c>
      <c r="H4" s="465">
        <v>35000</v>
      </c>
      <c r="I4" s="465">
        <v>30000</v>
      </c>
      <c r="J4" s="465">
        <v>25000</v>
      </c>
      <c r="K4" s="475">
        <f t="shared" si="0"/>
        <v>280000</v>
      </c>
    </row>
    <row r="5" spans="1:11" ht="13.5">
      <c r="A5" s="467" t="s">
        <v>14</v>
      </c>
      <c r="B5" s="697">
        <v>70900</v>
      </c>
      <c r="C5" s="474" t="s">
        <v>15</v>
      </c>
      <c r="D5" s="465">
        <f>8875*4</f>
        <v>35500</v>
      </c>
      <c r="E5" s="465">
        <f>8850*4</f>
        <v>35400</v>
      </c>
      <c r="F5" s="465"/>
      <c r="G5" s="465"/>
      <c r="H5" s="465"/>
      <c r="I5" s="465"/>
      <c r="J5" s="465"/>
      <c r="K5" s="475">
        <f t="shared" si="0"/>
        <v>70900</v>
      </c>
    </row>
    <row r="6" spans="1:11" ht="13.5">
      <c r="A6" s="476" t="s">
        <v>18</v>
      </c>
      <c r="B6" s="698"/>
      <c r="C6" s="474" t="s">
        <v>17</v>
      </c>
      <c r="D6" s="465">
        <v>5000</v>
      </c>
      <c r="E6" s="465">
        <v>3000</v>
      </c>
      <c r="F6" s="465"/>
      <c r="G6" s="465"/>
      <c r="H6" s="465"/>
      <c r="I6" s="465"/>
      <c r="J6" s="465"/>
      <c r="K6" s="475">
        <f t="shared" si="0"/>
        <v>8000</v>
      </c>
    </row>
    <row r="7" spans="1:11" ht="13.5">
      <c r="A7" s="467" t="s">
        <v>19</v>
      </c>
      <c r="B7" s="697">
        <v>118800</v>
      </c>
      <c r="C7" s="477" t="s">
        <v>15</v>
      </c>
      <c r="D7" s="466">
        <v>21600</v>
      </c>
      <c r="E7" s="466">
        <v>21600</v>
      </c>
      <c r="F7" s="466">
        <v>21600</v>
      </c>
      <c r="G7" s="466">
        <v>21600</v>
      </c>
      <c r="H7" s="466">
        <v>21600</v>
      </c>
      <c r="I7" s="466">
        <v>10800</v>
      </c>
      <c r="J7" s="466"/>
      <c r="K7" s="475">
        <f t="shared" si="0"/>
        <v>118800</v>
      </c>
    </row>
    <row r="8" spans="1:11" ht="13.5">
      <c r="A8" s="469" t="s">
        <v>20</v>
      </c>
      <c r="B8" s="698"/>
      <c r="C8" s="477" t="s">
        <v>17</v>
      </c>
      <c r="D8" s="466">
        <v>7000</v>
      </c>
      <c r="E8" s="466">
        <v>6000</v>
      </c>
      <c r="F8" s="466">
        <v>5000</v>
      </c>
      <c r="G8" s="466">
        <v>4000</v>
      </c>
      <c r="H8" s="466">
        <v>3000</v>
      </c>
      <c r="I8" s="466">
        <v>2000</v>
      </c>
      <c r="J8" s="466"/>
      <c r="K8" s="475">
        <f t="shared" si="0"/>
        <v>27000</v>
      </c>
    </row>
    <row r="9" spans="1:11" ht="13.5">
      <c r="A9" s="467" t="s">
        <v>21</v>
      </c>
      <c r="B9" s="697">
        <v>116000</v>
      </c>
      <c r="C9" s="477" t="s">
        <v>15</v>
      </c>
      <c r="D9" s="466">
        <f>2400*4</f>
        <v>9600</v>
      </c>
      <c r="E9" s="466">
        <f>2500*4</f>
        <v>10000</v>
      </c>
      <c r="F9" s="466">
        <f>2500*4</f>
        <v>10000</v>
      </c>
      <c r="G9" s="466">
        <f>5400*4</f>
        <v>21600</v>
      </c>
      <c r="H9" s="466">
        <f>5400*4</f>
        <v>21600</v>
      </c>
      <c r="I9" s="466">
        <f>5400*4</f>
        <v>21600</v>
      </c>
      <c r="J9" s="466">
        <f>5400*4</f>
        <v>21600</v>
      </c>
      <c r="K9" s="475">
        <f t="shared" si="0"/>
        <v>116000</v>
      </c>
    </row>
    <row r="10" spans="1:11" ht="13.5">
      <c r="A10" s="469" t="s">
        <v>22</v>
      </c>
      <c r="B10" s="698"/>
      <c r="C10" s="477" t="s">
        <v>17</v>
      </c>
      <c r="D10" s="466">
        <v>7000</v>
      </c>
      <c r="E10" s="466">
        <v>6000</v>
      </c>
      <c r="F10" s="466">
        <v>5000</v>
      </c>
      <c r="G10" s="466">
        <v>4000</v>
      </c>
      <c r="H10" s="466">
        <v>3000</v>
      </c>
      <c r="I10" s="466">
        <v>2000</v>
      </c>
      <c r="J10" s="466">
        <v>1000</v>
      </c>
      <c r="K10" s="475">
        <f t="shared" si="0"/>
        <v>28000</v>
      </c>
    </row>
    <row r="11" spans="1:11" ht="13.5">
      <c r="A11" s="467" t="s">
        <v>23</v>
      </c>
      <c r="B11" s="697">
        <v>1291890.86</v>
      </c>
      <c r="C11" s="474" t="s">
        <v>15</v>
      </c>
      <c r="D11" s="465">
        <v>360000</v>
      </c>
      <c r="E11" s="465">
        <v>360000</v>
      </c>
      <c r="F11" s="465">
        <f>720000-148109.14</f>
        <v>571890.86</v>
      </c>
      <c r="G11" s="465"/>
      <c r="H11" s="465"/>
      <c r="I11" s="465"/>
      <c r="J11" s="465"/>
      <c r="K11" s="475">
        <f t="shared" si="0"/>
        <v>1291890.86</v>
      </c>
    </row>
    <row r="12" spans="1:11" ht="13.5">
      <c r="A12" s="476" t="s">
        <v>24</v>
      </c>
      <c r="B12" s="698"/>
      <c r="C12" s="474" t="s">
        <v>17</v>
      </c>
      <c r="D12" s="465">
        <v>8000</v>
      </c>
      <c r="E12" s="465">
        <v>6000</v>
      </c>
      <c r="F12" s="465">
        <v>4000</v>
      </c>
      <c r="G12" s="465"/>
      <c r="H12" s="465"/>
      <c r="I12" s="465"/>
      <c r="J12" s="465"/>
      <c r="K12" s="475">
        <f t="shared" si="0"/>
        <v>18000</v>
      </c>
    </row>
    <row r="13" spans="1:11" ht="13.5">
      <c r="A13" s="467" t="s">
        <v>25</v>
      </c>
      <c r="B13" s="697">
        <v>691393.48</v>
      </c>
      <c r="C13" s="474" t="s">
        <v>15</v>
      </c>
      <c r="D13" s="465">
        <v>98770.48</v>
      </c>
      <c r="E13" s="465">
        <v>98770.48</v>
      </c>
      <c r="F13" s="465">
        <v>98770.48</v>
      </c>
      <c r="G13" s="465">
        <v>98770.48</v>
      </c>
      <c r="H13" s="465">
        <v>98770.48</v>
      </c>
      <c r="I13" s="465">
        <v>98770.48</v>
      </c>
      <c r="J13" s="465">
        <v>98770.6</v>
      </c>
      <c r="K13" s="475">
        <f t="shared" si="0"/>
        <v>691393.48</v>
      </c>
    </row>
    <row r="14" spans="1:11" ht="13.5">
      <c r="A14" s="469" t="s">
        <v>26</v>
      </c>
      <c r="B14" s="698"/>
      <c r="C14" s="474" t="s">
        <v>17</v>
      </c>
      <c r="D14" s="465">
        <v>45000</v>
      </c>
      <c r="E14" s="465">
        <v>40000</v>
      </c>
      <c r="F14" s="465">
        <v>35000</v>
      </c>
      <c r="G14" s="465">
        <v>30000</v>
      </c>
      <c r="H14" s="465">
        <v>25000</v>
      </c>
      <c r="I14" s="465">
        <v>20000</v>
      </c>
      <c r="J14" s="465">
        <v>15000</v>
      </c>
      <c r="K14" s="475">
        <f t="shared" si="0"/>
        <v>210000</v>
      </c>
    </row>
    <row r="15" spans="1:11" ht="13.5">
      <c r="A15" s="694" t="s">
        <v>27</v>
      </c>
      <c r="B15" s="697">
        <v>3000000</v>
      </c>
      <c r="C15" s="477" t="s">
        <v>15</v>
      </c>
      <c r="D15" s="466">
        <v>1000000</v>
      </c>
      <c r="E15" s="466">
        <v>1000000</v>
      </c>
      <c r="F15" s="466">
        <v>1000000</v>
      </c>
      <c r="G15" s="466"/>
      <c r="H15" s="466"/>
      <c r="I15" s="466"/>
      <c r="J15" s="466"/>
      <c r="K15" s="475">
        <f t="shared" si="0"/>
        <v>3000000</v>
      </c>
    </row>
    <row r="16" spans="1:11" ht="13.5">
      <c r="A16" s="695"/>
      <c r="B16" s="698"/>
      <c r="C16" s="477" t="s">
        <v>17</v>
      </c>
      <c r="D16" s="466">
        <v>140000</v>
      </c>
      <c r="E16" s="466">
        <v>90000</v>
      </c>
      <c r="F16" s="466">
        <v>40000</v>
      </c>
      <c r="G16" s="466"/>
      <c r="H16" s="466"/>
      <c r="I16" s="466"/>
      <c r="J16" s="466"/>
      <c r="K16" s="475">
        <f t="shared" si="0"/>
        <v>270000</v>
      </c>
    </row>
    <row r="17" spans="1:12" ht="13.5">
      <c r="A17" s="694" t="s">
        <v>541</v>
      </c>
      <c r="B17" s="691">
        <f>574500+1105600+299000</f>
        <v>1979100</v>
      </c>
      <c r="C17" s="478" t="s">
        <v>15</v>
      </c>
      <c r="D17" s="468"/>
      <c r="E17" s="468">
        <v>350000</v>
      </c>
      <c r="F17" s="468">
        <v>350000</v>
      </c>
      <c r="G17" s="468">
        <v>350000</v>
      </c>
      <c r="H17" s="468">
        <v>350000</v>
      </c>
      <c r="I17" s="468">
        <v>350000</v>
      </c>
      <c r="J17" s="468">
        <v>229100</v>
      </c>
      <c r="K17" s="475">
        <f t="shared" si="0"/>
        <v>1979100</v>
      </c>
      <c r="L17" s="498">
        <f>B17-K17</f>
        <v>0</v>
      </c>
    </row>
    <row r="18" spans="1:12" ht="13.5">
      <c r="A18" s="695"/>
      <c r="B18" s="692"/>
      <c r="C18" s="478" t="s">
        <v>17</v>
      </c>
      <c r="D18" s="468">
        <v>55000</v>
      </c>
      <c r="E18" s="468">
        <v>35000</v>
      </c>
      <c r="F18" s="468">
        <v>30000</v>
      </c>
      <c r="G18" s="468">
        <v>25000</v>
      </c>
      <c r="H18" s="468">
        <v>20000</v>
      </c>
      <c r="I18" s="468">
        <v>15000</v>
      </c>
      <c r="J18" s="468">
        <v>10000</v>
      </c>
      <c r="K18" s="475">
        <f t="shared" si="0"/>
        <v>190000</v>
      </c>
      <c r="L18" s="498"/>
    </row>
    <row r="19" spans="1:12" ht="13.5" hidden="1">
      <c r="A19" s="694" t="s">
        <v>28</v>
      </c>
      <c r="B19" s="691"/>
      <c r="C19" s="478" t="s">
        <v>15</v>
      </c>
      <c r="D19" s="468"/>
      <c r="E19" s="468"/>
      <c r="F19" s="468"/>
      <c r="G19" s="468"/>
      <c r="H19" s="468"/>
      <c r="I19" s="468"/>
      <c r="J19" s="468"/>
      <c r="K19" s="475">
        <f t="shared" si="0"/>
        <v>0</v>
      </c>
      <c r="L19" s="498">
        <f>B19-K19</f>
        <v>0</v>
      </c>
    </row>
    <row r="20" spans="1:12" ht="13.5" hidden="1">
      <c r="A20" s="695"/>
      <c r="B20" s="692"/>
      <c r="C20" s="478" t="s">
        <v>17</v>
      </c>
      <c r="D20" s="468"/>
      <c r="E20" s="468"/>
      <c r="F20" s="468"/>
      <c r="G20" s="468"/>
      <c r="H20" s="468"/>
      <c r="I20" s="468"/>
      <c r="J20" s="468"/>
      <c r="K20" s="475">
        <f t="shared" si="0"/>
        <v>0</v>
      </c>
      <c r="L20" s="498">
        <f>B20-K20</f>
        <v>0</v>
      </c>
    </row>
    <row r="21" spans="1:12" ht="13.5">
      <c r="A21" s="694" t="s">
        <v>29</v>
      </c>
      <c r="B21" s="696">
        <v>3271956.48</v>
      </c>
      <c r="C21" s="478" t="s">
        <v>15</v>
      </c>
      <c r="D21" s="468"/>
      <c r="E21" s="468">
        <v>600000</v>
      </c>
      <c r="F21" s="468">
        <v>600000</v>
      </c>
      <c r="G21" s="468">
        <v>700000</v>
      </c>
      <c r="H21" s="468">
        <v>700000</v>
      </c>
      <c r="I21" s="468">
        <v>671956.48</v>
      </c>
      <c r="J21" s="468"/>
      <c r="K21" s="475">
        <f t="shared" si="0"/>
        <v>3271956.48</v>
      </c>
      <c r="L21" s="498">
        <f>B21-K21</f>
        <v>0</v>
      </c>
    </row>
    <row r="22" spans="1:12" ht="13.5">
      <c r="A22" s="695"/>
      <c r="B22" s="696"/>
      <c r="C22" s="478" t="s">
        <v>17</v>
      </c>
      <c r="D22" s="468">
        <v>150000</v>
      </c>
      <c r="E22" s="468">
        <v>140000</v>
      </c>
      <c r="F22" s="468">
        <v>90000</v>
      </c>
      <c r="G22" s="468">
        <v>40000</v>
      </c>
      <c r="H22" s="468">
        <v>15000</v>
      </c>
      <c r="I22" s="468"/>
      <c r="J22" s="468"/>
      <c r="K22" s="475">
        <f t="shared" si="0"/>
        <v>435000</v>
      </c>
      <c r="L22" s="498"/>
    </row>
    <row r="23" spans="1:12" ht="13.5">
      <c r="A23" s="694" t="s">
        <v>30</v>
      </c>
      <c r="B23" s="696">
        <f>410850+2249000+4267000+902000</f>
        <v>7828850</v>
      </c>
      <c r="C23" s="478" t="s">
        <v>15</v>
      </c>
      <c r="D23" s="468"/>
      <c r="E23" s="468">
        <v>1300000</v>
      </c>
      <c r="F23" s="468">
        <v>1300000</v>
      </c>
      <c r="G23" s="468">
        <v>1300000</v>
      </c>
      <c r="H23" s="468">
        <v>1300000</v>
      </c>
      <c r="I23" s="468">
        <v>1300000</v>
      </c>
      <c r="J23" s="468">
        <v>1328850</v>
      </c>
      <c r="K23" s="475">
        <f t="shared" si="0"/>
        <v>7828850</v>
      </c>
      <c r="L23" s="498">
        <f>B23-K23</f>
        <v>0</v>
      </c>
    </row>
    <row r="24" spans="1:11" ht="13.5">
      <c r="A24" s="695"/>
      <c r="B24" s="696"/>
      <c r="C24" s="478" t="s">
        <v>17</v>
      </c>
      <c r="D24" s="468">
        <v>178000</v>
      </c>
      <c r="E24" s="468">
        <v>140000</v>
      </c>
      <c r="F24" s="468">
        <v>130000</v>
      </c>
      <c r="G24" s="468">
        <v>120000</v>
      </c>
      <c r="H24" s="468">
        <v>100000</v>
      </c>
      <c r="I24" s="468">
        <v>85000</v>
      </c>
      <c r="J24" s="468">
        <v>65000</v>
      </c>
      <c r="K24" s="475">
        <f t="shared" si="0"/>
        <v>818000</v>
      </c>
    </row>
    <row r="25" spans="1:11" ht="13.5">
      <c r="A25" s="689" t="s">
        <v>56</v>
      </c>
      <c r="B25" s="691">
        <f>SUM(B3:B24)</f>
        <v>19869953.75</v>
      </c>
      <c r="C25" s="479" t="s">
        <v>15</v>
      </c>
      <c r="D25" s="475">
        <f>D3+D5+D7+D9+D11+D13+D15+D17+D19+D21+D23</f>
        <v>1739906.48</v>
      </c>
      <c r="E25" s="475">
        <f>E3+E5+E7+E9+E11+E13+E15+E17+E19+E21+E23</f>
        <v>3990206.48</v>
      </c>
      <c r="F25" s="475">
        <f aca="true" t="shared" si="1" ref="D25:J26">F3+F5+F7+F9+F11+F13+F15+F17+F19+F21+F23</f>
        <v>4166697.34</v>
      </c>
      <c r="G25" s="475">
        <f t="shared" si="1"/>
        <v>2706406.48</v>
      </c>
      <c r="H25" s="475">
        <f t="shared" si="1"/>
        <v>2706406.48</v>
      </c>
      <c r="I25" s="475">
        <f t="shared" si="1"/>
        <v>2667562.96</v>
      </c>
      <c r="J25" s="475">
        <f t="shared" si="1"/>
        <v>1892767.53</v>
      </c>
      <c r="K25" s="475">
        <f>D25+E25+F25+G25+H25+I25+J25</f>
        <v>19869953.75</v>
      </c>
    </row>
    <row r="26" spans="1:11" ht="13.5">
      <c r="A26" s="690"/>
      <c r="B26" s="692"/>
      <c r="C26" s="479" t="s">
        <v>17</v>
      </c>
      <c r="D26" s="475">
        <f t="shared" si="1"/>
        <v>650000</v>
      </c>
      <c r="E26" s="475">
        <f t="shared" si="1"/>
        <v>516000</v>
      </c>
      <c r="F26" s="475">
        <f t="shared" si="1"/>
        <v>384000</v>
      </c>
      <c r="G26" s="475">
        <f t="shared" si="1"/>
        <v>263000</v>
      </c>
      <c r="H26" s="475">
        <f t="shared" si="1"/>
        <v>201000</v>
      </c>
      <c r="I26" s="475">
        <f t="shared" si="1"/>
        <v>154000</v>
      </c>
      <c r="J26" s="475">
        <f t="shared" si="1"/>
        <v>116000</v>
      </c>
      <c r="K26" s="475">
        <f t="shared" si="0"/>
        <v>2284000</v>
      </c>
    </row>
    <row r="27" spans="1:11" ht="13.5">
      <c r="A27" s="693" t="s">
        <v>31</v>
      </c>
      <c r="B27" s="693"/>
      <c r="C27" s="693"/>
      <c r="D27" s="475">
        <f aca="true" t="shared" si="2" ref="D27:J27">D25+D26</f>
        <v>2389906.48</v>
      </c>
      <c r="E27" s="475">
        <f t="shared" si="2"/>
        <v>4506206.48</v>
      </c>
      <c r="F27" s="475">
        <f t="shared" si="2"/>
        <v>4550697.34</v>
      </c>
      <c r="G27" s="475">
        <f t="shared" si="2"/>
        <v>2969406.48</v>
      </c>
      <c r="H27" s="475">
        <f t="shared" si="2"/>
        <v>2907406.48</v>
      </c>
      <c r="I27" s="475">
        <f t="shared" si="2"/>
        <v>2821562.96</v>
      </c>
      <c r="J27" s="475">
        <f t="shared" si="2"/>
        <v>2008767.53</v>
      </c>
      <c r="K27" s="475">
        <f t="shared" si="0"/>
        <v>22153953.75</v>
      </c>
    </row>
  </sheetData>
  <mergeCells count="20">
    <mergeCell ref="A1:K1"/>
    <mergeCell ref="B3:B4"/>
    <mergeCell ref="B5:B6"/>
    <mergeCell ref="B7:B8"/>
    <mergeCell ref="B9:B10"/>
    <mergeCell ref="B11:B12"/>
    <mergeCell ref="B13:B14"/>
    <mergeCell ref="A15:A16"/>
    <mergeCell ref="B15:B16"/>
    <mergeCell ref="A17:A18"/>
    <mergeCell ref="B17:B18"/>
    <mergeCell ref="A19:A20"/>
    <mergeCell ref="B19:B20"/>
    <mergeCell ref="A25:A26"/>
    <mergeCell ref="B25:B26"/>
    <mergeCell ref="A27:C27"/>
    <mergeCell ref="A21:A22"/>
    <mergeCell ref="B21:B22"/>
    <mergeCell ref="A23:A24"/>
    <mergeCell ref="B23:B24"/>
  </mergeCells>
  <printOptions/>
  <pageMargins left="0.75" right="0.75" top="1" bottom="1" header="0.5" footer="0.5"/>
  <pageSetup fitToHeight="1" fitToWidth="1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110" zoomScaleNormal="110" workbookViewId="0" topLeftCell="A1">
      <selection activeCell="D41" sqref="D41"/>
    </sheetView>
  </sheetViews>
  <sheetFormatPr defaultColWidth="9.00390625" defaultRowHeight="12.75"/>
  <cols>
    <col min="1" max="1" width="5.625" style="86" customWidth="1"/>
    <col min="2" max="2" width="30.375" style="202" customWidth="1"/>
    <col min="3" max="3" width="12.375" style="7" hidden="1" customWidth="1"/>
    <col min="4" max="6" width="12.375" style="7" customWidth="1"/>
    <col min="7" max="7" width="13.125" style="7" customWidth="1"/>
    <col min="8" max="13" width="12.375" style="7" hidden="1" customWidth="1"/>
    <col min="14" max="14" width="10.25390625" style="7" customWidth="1"/>
    <col min="15" max="16384" width="9.125" style="7" customWidth="1"/>
  </cols>
  <sheetData>
    <row r="1" spans="7:10" ht="13.5">
      <c r="G1" s="598" t="s">
        <v>1</v>
      </c>
      <c r="H1" s="598"/>
      <c r="I1" s="598"/>
      <c r="J1" s="598"/>
    </row>
    <row r="2" spans="1:9" ht="15.75">
      <c r="A2" s="599" t="s">
        <v>550</v>
      </c>
      <c r="B2" s="599"/>
      <c r="C2" s="599"/>
      <c r="D2" s="599"/>
      <c r="E2" s="599"/>
      <c r="F2" s="599"/>
      <c r="G2" s="599"/>
      <c r="H2" s="599"/>
      <c r="I2" s="599"/>
    </row>
    <row r="3" spans="1:13" ht="12.75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</row>
    <row r="4" spans="1:13" ht="12.75" customHeight="1">
      <c r="A4" s="578" t="s">
        <v>44</v>
      </c>
      <c r="B4" s="700" t="s">
        <v>110</v>
      </c>
      <c r="C4" s="602" t="s">
        <v>10</v>
      </c>
      <c r="D4" s="509"/>
      <c r="E4" s="509"/>
      <c r="F4" s="509"/>
      <c r="G4" s="702">
        <v>2010</v>
      </c>
      <c r="H4" s="703"/>
      <c r="I4" s="703"/>
      <c r="J4" s="703"/>
      <c r="K4" s="703"/>
      <c r="L4" s="703"/>
      <c r="M4" s="704"/>
    </row>
    <row r="5" spans="1:13" ht="27" customHeight="1">
      <c r="A5" s="580"/>
      <c r="B5" s="701"/>
      <c r="C5" s="603"/>
      <c r="D5" s="510">
        <v>2007</v>
      </c>
      <c r="E5" s="510">
        <v>2008</v>
      </c>
      <c r="F5" s="510" t="s">
        <v>552</v>
      </c>
      <c r="G5" s="705"/>
      <c r="H5" s="706"/>
      <c r="I5" s="706"/>
      <c r="J5" s="706"/>
      <c r="K5" s="706"/>
      <c r="L5" s="706"/>
      <c r="M5" s="707"/>
    </row>
    <row r="6" spans="1:13" s="200" customFormat="1" ht="12.75">
      <c r="A6" s="199">
        <v>1</v>
      </c>
      <c r="B6" s="199">
        <v>2</v>
      </c>
      <c r="C6" s="199">
        <v>3</v>
      </c>
      <c r="D6" s="199"/>
      <c r="E6" s="199"/>
      <c r="F6" s="199"/>
      <c r="G6" s="199">
        <v>7</v>
      </c>
      <c r="H6" s="199">
        <v>8</v>
      </c>
      <c r="I6" s="199">
        <v>9</v>
      </c>
      <c r="J6" s="199">
        <v>10</v>
      </c>
      <c r="K6" s="199">
        <v>11</v>
      </c>
      <c r="L6" s="199">
        <v>12</v>
      </c>
      <c r="M6" s="199">
        <v>13</v>
      </c>
    </row>
    <row r="7" spans="1:13" s="483" customFormat="1" ht="12.75" customHeight="1">
      <c r="A7" s="189" t="s">
        <v>123</v>
      </c>
      <c r="B7" s="481" t="s">
        <v>33</v>
      </c>
      <c r="C7" s="482">
        <f aca="true" t="shared" si="0" ref="C7:M7">C8+C9</f>
        <v>6790047.27</v>
      </c>
      <c r="D7" s="482">
        <f>D8+D9</f>
        <v>0</v>
      </c>
      <c r="E7" s="482">
        <f>E8+E9</f>
        <v>0</v>
      </c>
      <c r="F7" s="482">
        <f>F8+F9</f>
        <v>0</v>
      </c>
      <c r="G7" s="482">
        <f t="shared" si="0"/>
        <v>19869953.75</v>
      </c>
      <c r="H7" s="482">
        <f t="shared" si="0"/>
        <v>18130047.27</v>
      </c>
      <c r="I7" s="482">
        <f t="shared" si="0"/>
        <v>14139840.79</v>
      </c>
      <c r="J7" s="482">
        <f t="shared" si="0"/>
        <v>9973143.45</v>
      </c>
      <c r="K7" s="482">
        <f t="shared" si="0"/>
        <v>7266736.97</v>
      </c>
      <c r="L7" s="482">
        <f t="shared" si="0"/>
        <v>4560330.49</v>
      </c>
      <c r="M7" s="482">
        <f t="shared" si="0"/>
        <v>1892767.53</v>
      </c>
    </row>
    <row r="8" spans="1:13" s="486" customFormat="1" ht="12.75" customHeight="1">
      <c r="A8" s="190" t="s">
        <v>295</v>
      </c>
      <c r="B8" s="484" t="s">
        <v>43</v>
      </c>
      <c r="C8" s="485">
        <f>'Wykaz kredytów i pożyczek'!B3+'Wykaz kredytów i pożyczek'!B5+'Wykaz kredytów i pożyczek'!B7+'Wykaz kredytów i pożyczek'!B9+'Wykaz kredytów i pożyczek'!B11+'Wykaz kredytów i pożyczek'!B13+'Wykaz kredytów i pożyczek'!B15</f>
        <v>6790047.27</v>
      </c>
      <c r="D8" s="485"/>
      <c r="E8" s="485"/>
      <c r="F8" s="485"/>
      <c r="G8" s="485">
        <f>C8</f>
        <v>6790047.27</v>
      </c>
      <c r="H8" s="485">
        <f aca="true" t="shared" si="1" ref="H8:M8">G7-G11-G12</f>
        <v>18130047.27</v>
      </c>
      <c r="I8" s="485">
        <f t="shared" si="1"/>
        <v>14139840.79</v>
      </c>
      <c r="J8" s="485">
        <f t="shared" si="1"/>
        <v>9973143.45</v>
      </c>
      <c r="K8" s="485">
        <f t="shared" si="1"/>
        <v>7266736.97</v>
      </c>
      <c r="L8" s="485">
        <f t="shared" si="1"/>
        <v>4560330.49</v>
      </c>
      <c r="M8" s="485">
        <f t="shared" si="1"/>
        <v>1892767.53</v>
      </c>
    </row>
    <row r="9" spans="1:13" s="486" customFormat="1" ht="12.75" customHeight="1">
      <c r="A9" s="190" t="s">
        <v>296</v>
      </c>
      <c r="B9" s="484" t="s">
        <v>34</v>
      </c>
      <c r="C9" s="485"/>
      <c r="D9" s="485"/>
      <c r="E9" s="485"/>
      <c r="F9" s="485"/>
      <c r="G9" s="485">
        <f>'Wykaz kredytów i pożyczek'!B17+'Wykaz kredytów i pożyczek'!B21+'Wykaz kredytów i pożyczek'!B23</f>
        <v>13079906.48</v>
      </c>
      <c r="H9" s="485"/>
      <c r="I9" s="485"/>
      <c r="J9" s="485"/>
      <c r="K9" s="485"/>
      <c r="L9" s="485"/>
      <c r="M9" s="485"/>
    </row>
    <row r="10" spans="1:13" s="483" customFormat="1" ht="12.75" customHeight="1">
      <c r="A10" s="189">
        <v>2</v>
      </c>
      <c r="B10" s="481" t="s">
        <v>35</v>
      </c>
      <c r="C10" s="482">
        <f>C11+C13</f>
        <v>0</v>
      </c>
      <c r="D10" s="482">
        <f>D11+D13+D12</f>
        <v>2318390.58</v>
      </c>
      <c r="E10" s="482">
        <f>E11+E13+E12</f>
        <v>2624322.95</v>
      </c>
      <c r="F10" s="482">
        <f>F11+F13+F12</f>
        <v>1585518.49</v>
      </c>
      <c r="G10" s="482">
        <f aca="true" t="shared" si="2" ref="G10:M10">G11+G13+G12</f>
        <v>2389906.48</v>
      </c>
      <c r="H10" s="482">
        <f t="shared" si="2"/>
        <v>4506206.48</v>
      </c>
      <c r="I10" s="482">
        <f t="shared" si="2"/>
        <v>4550697.34</v>
      </c>
      <c r="J10" s="482">
        <f t="shared" si="2"/>
        <v>2969406.48</v>
      </c>
      <c r="K10" s="482">
        <f t="shared" si="2"/>
        <v>2907406.48</v>
      </c>
      <c r="L10" s="482">
        <f t="shared" si="2"/>
        <v>2821562.96</v>
      </c>
      <c r="M10" s="482">
        <f t="shared" si="2"/>
        <v>2008767.53</v>
      </c>
    </row>
    <row r="11" spans="1:13" s="486" customFormat="1" ht="12.75" customHeight="1">
      <c r="A11" s="190" t="s">
        <v>297</v>
      </c>
      <c r="B11" s="487" t="s">
        <v>7</v>
      </c>
      <c r="C11" s="488"/>
      <c r="D11" s="488">
        <v>2070205</v>
      </c>
      <c r="E11" s="488">
        <v>2409659.79</v>
      </c>
      <c r="F11" s="488">
        <v>1247106.48</v>
      </c>
      <c r="G11" s="488">
        <f>'Wykaz kredytów i pożyczek'!D3+'Wykaz kredytów i pożyczek'!D5+'Wykaz kredytów i pożyczek'!D7+'Wykaz kredytów i pożyczek'!D9+'Wykaz kredytów i pożyczek'!D11+'Wykaz kredytów i pożyczek'!D13+'Wykaz kredytów i pożyczek'!D15+'Wykaz kredytów i pożyczek'!D21</f>
        <v>1739906.48</v>
      </c>
      <c r="H11" s="488">
        <f>'Wykaz kredytów i pożyczek'!E3+'Wykaz kredytów i pożyczek'!E5+'Wykaz kredytów i pożyczek'!E7+'Wykaz kredytów i pożyczek'!E9+'Wykaz kredytów i pożyczek'!E11+'Wykaz kredytów i pożyczek'!E13+'Wykaz kredytów i pożyczek'!E15+'Wykaz kredytów i pożyczek'!E21</f>
        <v>2340206.48</v>
      </c>
      <c r="I11" s="488">
        <f>'Wykaz kredytów i pożyczek'!F3+'Wykaz kredytów i pożyczek'!F5+'Wykaz kredytów i pożyczek'!F7+'Wykaz kredytów i pożyczek'!F9+'Wykaz kredytów i pożyczek'!F11+'Wykaz kredytów i pożyczek'!F13+'Wykaz kredytów i pożyczek'!F15+'Wykaz kredytów i pożyczek'!F21</f>
        <v>2516697.34</v>
      </c>
      <c r="J11" s="488">
        <f>'Wykaz kredytów i pożyczek'!G3+'Wykaz kredytów i pożyczek'!G5+'Wykaz kredytów i pożyczek'!G7+'Wykaz kredytów i pożyczek'!G9+'Wykaz kredytów i pożyczek'!G11+'Wykaz kredytów i pożyczek'!G13+'Wykaz kredytów i pożyczek'!G15+'Wykaz kredytów i pożyczek'!G21</f>
        <v>1056406.48</v>
      </c>
      <c r="K11" s="488">
        <f>'Wykaz kredytów i pożyczek'!H3+'Wykaz kredytów i pożyczek'!H5+'Wykaz kredytów i pożyczek'!H7+'Wykaz kredytów i pożyczek'!H9+'Wykaz kredytów i pożyczek'!H11+'Wykaz kredytów i pożyczek'!H13+'Wykaz kredytów i pożyczek'!H15+'Wykaz kredytów i pożyczek'!H21</f>
        <v>1056406.48</v>
      </c>
      <c r="L11" s="488">
        <f>'Wykaz kredytów i pożyczek'!I3+'Wykaz kredytów i pożyczek'!I5+'Wykaz kredytów i pożyczek'!I7+'Wykaz kredytów i pożyczek'!I9+'Wykaz kredytów i pożyczek'!I11+'Wykaz kredytów i pożyczek'!I13+'Wykaz kredytów i pożyczek'!I15+'Wykaz kredytów i pożyczek'!I21</f>
        <v>1017562.96</v>
      </c>
      <c r="M11" s="488">
        <f>'Wykaz kredytów i pożyczek'!J3+'Wykaz kredytów i pożyczek'!J5+'Wykaz kredytów i pożyczek'!J7+'Wykaz kredytów i pożyczek'!J9+'Wykaz kredytów i pożyczek'!J11+'Wykaz kredytów i pożyczek'!J13+'Wykaz kredytów i pożyczek'!J15+'Wykaz kredytów i pożyczek'!J21</f>
        <v>334817.53</v>
      </c>
    </row>
    <row r="12" spans="1:13" s="486" customFormat="1" ht="12.75" customHeight="1" hidden="1">
      <c r="A12" s="190" t="s">
        <v>298</v>
      </c>
      <c r="B12" s="487" t="s">
        <v>548</v>
      </c>
      <c r="C12" s="488"/>
      <c r="D12" s="488"/>
      <c r="E12" s="488"/>
      <c r="F12" s="488"/>
      <c r="G12" s="488">
        <f>'Wykaz kredytów i pożyczek'!D17+'Wykaz kredytów i pożyczek'!D23</f>
        <v>0</v>
      </c>
      <c r="H12" s="488">
        <f>'Wykaz kredytów i pożyczek'!E17+'Wykaz kredytów i pożyczek'!E23</f>
        <v>1650000</v>
      </c>
      <c r="I12" s="488">
        <f>'Wykaz kredytów i pożyczek'!F17+'Wykaz kredytów i pożyczek'!F23</f>
        <v>1650000</v>
      </c>
      <c r="J12" s="488">
        <f>'Wykaz kredytów i pożyczek'!G17+'Wykaz kredytów i pożyczek'!G23</f>
        <v>1650000</v>
      </c>
      <c r="K12" s="488">
        <f>'Wykaz kredytów i pożyczek'!H17+'Wykaz kredytów i pożyczek'!H23</f>
        <v>1650000</v>
      </c>
      <c r="L12" s="488">
        <f>'Wykaz kredytów i pożyczek'!I17+'Wykaz kredytów i pożyczek'!I23</f>
        <v>1650000</v>
      </c>
      <c r="M12" s="488">
        <f>'Wykaz kredytów i pożyczek'!J17+'Wykaz kredytów i pożyczek'!J23</f>
        <v>1557950</v>
      </c>
    </row>
    <row r="13" spans="1:14" s="486" customFormat="1" ht="12.75" customHeight="1">
      <c r="A13" s="190" t="s">
        <v>298</v>
      </c>
      <c r="B13" s="487" t="s">
        <v>8</v>
      </c>
      <c r="C13" s="485"/>
      <c r="D13" s="485">
        <v>248185.58</v>
      </c>
      <c r="E13" s="485">
        <v>214663.16</v>
      </c>
      <c r="F13" s="485">
        <v>338412.01</v>
      </c>
      <c r="G13" s="489">
        <f>'Wykaz kredytów i pożyczek'!D26</f>
        <v>650000</v>
      </c>
      <c r="H13" s="489">
        <f>'Wykaz kredytów i pożyczek'!E26</f>
        <v>516000</v>
      </c>
      <c r="I13" s="489">
        <f>'Wykaz kredytów i pożyczek'!F26</f>
        <v>384000</v>
      </c>
      <c r="J13" s="489">
        <f>'Wykaz kredytów i pożyczek'!G26</f>
        <v>263000</v>
      </c>
      <c r="K13" s="489">
        <f>'Wykaz kredytów i pożyczek'!H26</f>
        <v>201000</v>
      </c>
      <c r="L13" s="489">
        <f>'Wykaz kredytów i pożyczek'!I26</f>
        <v>154000</v>
      </c>
      <c r="M13" s="489">
        <f>'Wykaz kredytów i pożyczek'!J26</f>
        <v>116000</v>
      </c>
      <c r="N13" s="490"/>
    </row>
    <row r="14" spans="1:14" s="483" customFormat="1" ht="12.75" customHeight="1">
      <c r="A14" s="491">
        <v>3</v>
      </c>
      <c r="B14" s="492" t="s">
        <v>38</v>
      </c>
      <c r="C14" s="493"/>
      <c r="D14" s="485">
        <v>7282913.54</v>
      </c>
      <c r="E14" s="485">
        <v>4965253.75</v>
      </c>
      <c r="F14" s="485">
        <v>3957090.54</v>
      </c>
      <c r="G14" s="493">
        <f>G7-G11</f>
        <v>18130047.27</v>
      </c>
      <c r="H14" s="493">
        <f aca="true" t="shared" si="3" ref="H14:M14">G14-H11</f>
        <v>15789840.79</v>
      </c>
      <c r="I14" s="493">
        <f t="shared" si="3"/>
        <v>13273143.45</v>
      </c>
      <c r="J14" s="493">
        <f t="shared" si="3"/>
        <v>12216736.97</v>
      </c>
      <c r="K14" s="493">
        <f t="shared" si="3"/>
        <v>11160330.49</v>
      </c>
      <c r="L14" s="493">
        <f t="shared" si="3"/>
        <v>10142767.53</v>
      </c>
      <c r="M14" s="493">
        <f t="shared" si="3"/>
        <v>9807950</v>
      </c>
      <c r="N14" s="490"/>
    </row>
    <row r="15" spans="1:14" s="483" customFormat="1" ht="12.75" customHeight="1">
      <c r="A15" s="189">
        <v>4</v>
      </c>
      <c r="B15" s="494" t="s">
        <v>2</v>
      </c>
      <c r="C15" s="493"/>
      <c r="D15" s="493">
        <v>42190310.6</v>
      </c>
      <c r="E15" s="493">
        <v>45108488.25</v>
      </c>
      <c r="F15" s="493">
        <v>45574899.15</v>
      </c>
      <c r="G15" s="495" t="e">
        <f>#REF!</f>
        <v>#REF!</v>
      </c>
      <c r="H15" s="495">
        <f>H18-5000000</f>
        <v>54605882</v>
      </c>
      <c r="I15" s="495">
        <f>I18-500000</f>
        <v>45300000</v>
      </c>
      <c r="J15" s="495">
        <f>J18-500000</f>
        <v>46200000</v>
      </c>
      <c r="K15" s="495">
        <f>K18-500000</f>
        <v>47100000</v>
      </c>
      <c r="L15" s="495">
        <f>L18-500000</f>
        <v>48000000</v>
      </c>
      <c r="M15" s="495">
        <f>M18-500000</f>
        <v>48900000</v>
      </c>
      <c r="N15" s="490"/>
    </row>
    <row r="16" spans="1:14" s="486" customFormat="1" ht="12.75" customHeight="1">
      <c r="A16" s="190" t="s">
        <v>36</v>
      </c>
      <c r="B16" s="487" t="s">
        <v>3</v>
      </c>
      <c r="C16" s="485"/>
      <c r="D16" s="485">
        <v>36895104.68</v>
      </c>
      <c r="E16" s="485">
        <v>41020914.59</v>
      </c>
      <c r="F16" s="485">
        <v>39474458.37</v>
      </c>
      <c r="G16" s="489" t="e">
        <f>#REF!</f>
        <v>#REF!</v>
      </c>
      <c r="H16" s="489">
        <v>40900000</v>
      </c>
      <c r="I16" s="489">
        <f>H16+800000</f>
        <v>41700000</v>
      </c>
      <c r="J16" s="489">
        <f>I16+800000</f>
        <v>42500000</v>
      </c>
      <c r="K16" s="489">
        <f>J16+800000</f>
        <v>43300000</v>
      </c>
      <c r="L16" s="489">
        <f>K16+800000</f>
        <v>44100000</v>
      </c>
      <c r="M16" s="489">
        <f>L16+800000</f>
        <v>44900000</v>
      </c>
      <c r="N16" s="490"/>
    </row>
    <row r="17" spans="1:14" s="486" customFormat="1" ht="12.75" customHeight="1">
      <c r="A17" s="190" t="s">
        <v>37</v>
      </c>
      <c r="B17" s="487" t="s">
        <v>4</v>
      </c>
      <c r="C17" s="485"/>
      <c r="D17" s="485">
        <v>1372385.17</v>
      </c>
      <c r="E17" s="485">
        <v>3420555.92</v>
      </c>
      <c r="F17" s="485">
        <v>998280</v>
      </c>
      <c r="G17" s="489" t="e">
        <f>#REF!+#REF!</f>
        <v>#REF!</v>
      </c>
      <c r="H17" s="489">
        <v>600000</v>
      </c>
      <c r="I17" s="489">
        <v>600000</v>
      </c>
      <c r="J17" s="489">
        <v>600000</v>
      </c>
      <c r="K17" s="489">
        <v>600000</v>
      </c>
      <c r="L17" s="489">
        <v>600000</v>
      </c>
      <c r="M17" s="489">
        <v>600000</v>
      </c>
      <c r="N17" s="490"/>
    </row>
    <row r="18" spans="1:14" s="483" customFormat="1" ht="12.75" customHeight="1">
      <c r="A18" s="189">
        <v>5</v>
      </c>
      <c r="B18" s="494" t="s">
        <v>5</v>
      </c>
      <c r="C18" s="495"/>
      <c r="D18" s="495">
        <f>D19+D20</f>
        <v>40185165.38</v>
      </c>
      <c r="E18" s="495">
        <f>E19+E20</f>
        <v>42863450.08</v>
      </c>
      <c r="F18" s="495">
        <f>F19+F20</f>
        <v>53631658.64</v>
      </c>
      <c r="G18" s="495" t="e">
        <f aca="true" t="shared" si="4" ref="G18:M18">G19+G20</f>
        <v>#REF!</v>
      </c>
      <c r="H18" s="495">
        <f t="shared" si="4"/>
        <v>59605882</v>
      </c>
      <c r="I18" s="495">
        <f t="shared" si="4"/>
        <v>45800000</v>
      </c>
      <c r="J18" s="495">
        <f t="shared" si="4"/>
        <v>46700000</v>
      </c>
      <c r="K18" s="495">
        <f t="shared" si="4"/>
        <v>47600000</v>
      </c>
      <c r="L18" s="495">
        <f t="shared" si="4"/>
        <v>48500000</v>
      </c>
      <c r="M18" s="495">
        <f t="shared" si="4"/>
        <v>49400000</v>
      </c>
      <c r="N18" s="490"/>
    </row>
    <row r="19" spans="1:14" s="486" customFormat="1" ht="12.75" customHeight="1">
      <c r="A19" s="190" t="s">
        <v>39</v>
      </c>
      <c r="B19" s="487" t="s">
        <v>6</v>
      </c>
      <c r="C19" s="485"/>
      <c r="D19" s="485">
        <v>33167502.5</v>
      </c>
      <c r="E19" s="485">
        <v>35829392.51</v>
      </c>
      <c r="F19" s="485">
        <v>38367174.52</v>
      </c>
      <c r="G19" s="489" t="e">
        <f>#REF!</f>
        <v>#REF!</v>
      </c>
      <c r="H19" s="489">
        <v>39900000</v>
      </c>
      <c r="I19" s="489">
        <f>H19+900000</f>
        <v>40800000</v>
      </c>
      <c r="J19" s="489">
        <f>I19+900000</f>
        <v>41700000</v>
      </c>
      <c r="K19" s="489">
        <f>J19+900000</f>
        <v>42600000</v>
      </c>
      <c r="L19" s="489">
        <f>K19+900000</f>
        <v>43500000</v>
      </c>
      <c r="M19" s="489">
        <f>L19+900000</f>
        <v>44400000</v>
      </c>
      <c r="N19" s="490"/>
    </row>
    <row r="20" spans="1:14" s="486" customFormat="1" ht="12.75" customHeight="1">
      <c r="A20" s="190" t="s">
        <v>40</v>
      </c>
      <c r="B20" s="487" t="s">
        <v>94</v>
      </c>
      <c r="C20" s="485"/>
      <c r="D20" s="485">
        <v>7017662.88</v>
      </c>
      <c r="E20" s="485">
        <v>7034057.57</v>
      </c>
      <c r="F20" s="485">
        <v>15264484.12</v>
      </c>
      <c r="G20" s="489" t="e">
        <f>#REF!</f>
        <v>#REF!</v>
      </c>
      <c r="H20" s="489">
        <v>19705882</v>
      </c>
      <c r="I20" s="489">
        <v>5000000</v>
      </c>
      <c r="J20" s="489">
        <v>5000000</v>
      </c>
      <c r="K20" s="489">
        <v>5000000</v>
      </c>
      <c r="L20" s="489">
        <v>5000000</v>
      </c>
      <c r="M20" s="489">
        <v>5000000</v>
      </c>
      <c r="N20" s="490"/>
    </row>
    <row r="21" spans="1:13" s="483" customFormat="1" ht="12.75" customHeight="1">
      <c r="A21" s="189">
        <v>6</v>
      </c>
      <c r="B21" s="494" t="s">
        <v>9</v>
      </c>
      <c r="C21" s="493"/>
      <c r="D21" s="493">
        <f>D15-D18</f>
        <v>2005145.22</v>
      </c>
      <c r="E21" s="493">
        <f>E15-E18</f>
        <v>2245038.17</v>
      </c>
      <c r="F21" s="493">
        <f>F15-F18</f>
        <v>-8056759.49</v>
      </c>
      <c r="G21" s="493" t="e">
        <f aca="true" t="shared" si="5" ref="G21:M21">G15-G18</f>
        <v>#REF!</v>
      </c>
      <c r="H21" s="493">
        <f t="shared" si="5"/>
        <v>-5000000</v>
      </c>
      <c r="I21" s="493">
        <f t="shared" si="5"/>
        <v>-500000</v>
      </c>
      <c r="J21" s="493">
        <f t="shared" si="5"/>
        <v>-500000</v>
      </c>
      <c r="K21" s="493">
        <f t="shared" si="5"/>
        <v>-500000</v>
      </c>
      <c r="L21" s="493">
        <f t="shared" si="5"/>
        <v>-500000</v>
      </c>
      <c r="M21" s="493">
        <f t="shared" si="5"/>
        <v>-500000</v>
      </c>
    </row>
    <row r="22" spans="1:13" s="486" customFormat="1" ht="12.75" customHeight="1">
      <c r="A22" s="189">
        <v>7</v>
      </c>
      <c r="B22" s="481" t="s">
        <v>299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</row>
    <row r="23" spans="1:13" s="486" customFormat="1" ht="12.75" customHeight="1">
      <c r="A23" s="189" t="s">
        <v>41</v>
      </c>
      <c r="B23" s="496" t="s">
        <v>310</v>
      </c>
      <c r="C23" s="497"/>
      <c r="D23" s="497">
        <f>D14/D15%</f>
        <v>17.3</v>
      </c>
      <c r="E23" s="497">
        <f>E14/E15%</f>
        <v>11</v>
      </c>
      <c r="F23" s="497">
        <f>F14/F15%</f>
        <v>8.7</v>
      </c>
      <c r="G23" s="497" t="e">
        <f aca="true" t="shared" si="6" ref="G23:M23">G14/G15%</f>
        <v>#REF!</v>
      </c>
      <c r="H23" s="497">
        <f t="shared" si="6"/>
        <v>28.9</v>
      </c>
      <c r="I23" s="497">
        <f t="shared" si="6"/>
        <v>29.3</v>
      </c>
      <c r="J23" s="497">
        <f t="shared" si="6"/>
        <v>26.4</v>
      </c>
      <c r="K23" s="497">
        <f t="shared" si="6"/>
        <v>23.7</v>
      </c>
      <c r="L23" s="497">
        <f t="shared" si="6"/>
        <v>21.1</v>
      </c>
      <c r="M23" s="497">
        <f t="shared" si="6"/>
        <v>20.1</v>
      </c>
    </row>
    <row r="24" spans="1:13" s="486" customFormat="1" ht="12.75" customHeight="1">
      <c r="A24" s="189" t="s">
        <v>42</v>
      </c>
      <c r="B24" s="496" t="s">
        <v>311</v>
      </c>
      <c r="C24" s="497"/>
      <c r="D24" s="497">
        <f>D10/D15%</f>
        <v>5.5</v>
      </c>
      <c r="E24" s="497">
        <f>E10/E15%</f>
        <v>5.8</v>
      </c>
      <c r="F24" s="497">
        <f>F10/F15%</f>
        <v>3.5</v>
      </c>
      <c r="G24" s="497" t="e">
        <f aca="true" t="shared" si="7" ref="G24:M24">G10/G15%</f>
        <v>#REF!</v>
      </c>
      <c r="H24" s="497">
        <f t="shared" si="7"/>
        <v>8.3</v>
      </c>
      <c r="I24" s="497">
        <f t="shared" si="7"/>
        <v>10</v>
      </c>
      <c r="J24" s="497">
        <f t="shared" si="7"/>
        <v>6.4</v>
      </c>
      <c r="K24" s="497">
        <f t="shared" si="7"/>
        <v>6.2</v>
      </c>
      <c r="L24" s="497">
        <f t="shared" si="7"/>
        <v>5.9</v>
      </c>
      <c r="M24" s="497">
        <f t="shared" si="7"/>
        <v>4.1</v>
      </c>
    </row>
    <row r="25" spans="1:13" s="483" customFormat="1" ht="12.75" customHeight="1">
      <c r="A25" s="503">
        <v>8</v>
      </c>
      <c r="B25" s="500" t="s">
        <v>544</v>
      </c>
      <c r="C25" s="501"/>
      <c r="D25" s="501">
        <f>D11+D13+D12</f>
        <v>2318390.58</v>
      </c>
      <c r="E25" s="501">
        <f>E11+E13+E12</f>
        <v>2624322.95</v>
      </c>
      <c r="F25" s="501">
        <f>F11+F13+F12</f>
        <v>1585518.49</v>
      </c>
      <c r="G25" s="501">
        <f aca="true" t="shared" si="8" ref="G25:M25">G11+G13+G12</f>
        <v>2389906.48</v>
      </c>
      <c r="H25" s="501">
        <f t="shared" si="8"/>
        <v>4506206.48</v>
      </c>
      <c r="I25" s="501">
        <f t="shared" si="8"/>
        <v>4550697.34</v>
      </c>
      <c r="J25" s="501">
        <f t="shared" si="8"/>
        <v>2969406.48</v>
      </c>
      <c r="K25" s="501">
        <f t="shared" si="8"/>
        <v>2907406.48</v>
      </c>
      <c r="L25" s="501">
        <f t="shared" si="8"/>
        <v>2821562.96</v>
      </c>
      <c r="M25" s="501">
        <f t="shared" si="8"/>
        <v>2008767.53</v>
      </c>
    </row>
    <row r="26" spans="1:13" s="486" customFormat="1" ht="12.75" customHeight="1">
      <c r="A26" s="503">
        <v>9</v>
      </c>
      <c r="B26" s="500" t="s">
        <v>542</v>
      </c>
      <c r="C26" s="501"/>
      <c r="D26" s="501">
        <f>D16+D17-D19</f>
        <v>5099987.35</v>
      </c>
      <c r="E26" s="501">
        <f>E16+E17-E19</f>
        <v>8612078</v>
      </c>
      <c r="F26" s="501">
        <f>F16+F17-F19</f>
        <v>2105563.85</v>
      </c>
      <c r="G26" s="501" t="e">
        <f aca="true" t="shared" si="9" ref="G26:M26">G16+G17-G19</f>
        <v>#REF!</v>
      </c>
      <c r="H26" s="501">
        <f t="shared" si="9"/>
        <v>1600000</v>
      </c>
      <c r="I26" s="501">
        <f t="shared" si="9"/>
        <v>1500000</v>
      </c>
      <c r="J26" s="501">
        <f t="shared" si="9"/>
        <v>1400000</v>
      </c>
      <c r="K26" s="501">
        <f t="shared" si="9"/>
        <v>1300000</v>
      </c>
      <c r="L26" s="501">
        <f t="shared" si="9"/>
        <v>1200000</v>
      </c>
      <c r="M26" s="501">
        <f t="shared" si="9"/>
        <v>1100000</v>
      </c>
    </row>
    <row r="27" spans="1:13" s="483" customFormat="1" ht="12.75" customHeight="1">
      <c r="A27" s="508">
        <v>10</v>
      </c>
      <c r="B27" s="505" t="s">
        <v>543</v>
      </c>
      <c r="C27" s="507"/>
      <c r="D27" s="507">
        <f>D29-D28</f>
        <v>0</v>
      </c>
      <c r="E27" s="507">
        <f aca="true" t="shared" si="10" ref="E27:J27">E29-E28</f>
        <v>0</v>
      </c>
      <c r="F27" s="507">
        <f t="shared" si="10"/>
        <v>0</v>
      </c>
      <c r="G27" s="507" t="e">
        <f t="shared" si="10"/>
        <v>#REF!</v>
      </c>
      <c r="H27" s="507" t="e">
        <f t="shared" si="10"/>
        <v>#REF!</v>
      </c>
      <c r="I27" s="507" t="e">
        <f t="shared" si="10"/>
        <v>#REF!</v>
      </c>
      <c r="J27" s="507" t="e">
        <f t="shared" si="10"/>
        <v>#REF!</v>
      </c>
      <c r="K27" s="507">
        <f>K29-K28</f>
        <v>-0.031</v>
      </c>
      <c r="L27" s="507">
        <f>L29-L28</f>
        <v>-0.029</v>
      </c>
      <c r="M27" s="507">
        <f>M29-M28</f>
        <v>-0.013</v>
      </c>
    </row>
    <row r="28" spans="1:13" s="486" customFormat="1" ht="13.5">
      <c r="A28" s="503" t="s">
        <v>545</v>
      </c>
      <c r="B28" s="499" t="s">
        <v>549</v>
      </c>
      <c r="C28" s="502"/>
      <c r="D28" s="502"/>
      <c r="E28" s="502"/>
      <c r="F28" s="502"/>
      <c r="G28" s="502" t="e">
        <f aca="true" t="shared" si="11" ref="G28:M28">G25/G15</f>
        <v>#REF!</v>
      </c>
      <c r="H28" s="502">
        <f t="shared" si="11"/>
        <v>0.083</v>
      </c>
      <c r="I28" s="502">
        <f t="shared" si="11"/>
        <v>0.1</v>
      </c>
      <c r="J28" s="502">
        <f t="shared" si="11"/>
        <v>0.064</v>
      </c>
      <c r="K28" s="502">
        <f t="shared" si="11"/>
        <v>0.062</v>
      </c>
      <c r="L28" s="502">
        <f t="shared" si="11"/>
        <v>0.059</v>
      </c>
      <c r="M28" s="502">
        <f t="shared" si="11"/>
        <v>0.041</v>
      </c>
    </row>
    <row r="29" spans="1:13" s="486" customFormat="1" ht="13.5">
      <c r="A29" s="503" t="s">
        <v>546</v>
      </c>
      <c r="B29" s="499" t="s">
        <v>547</v>
      </c>
      <c r="C29" s="502"/>
      <c r="D29" s="502"/>
      <c r="E29" s="502"/>
      <c r="F29" s="502"/>
      <c r="G29" s="502">
        <f aca="true" t="shared" si="12" ref="G29:M29">((D26/D15)+(E26/E15)+(F26/F15))*1/3</f>
        <v>0.119</v>
      </c>
      <c r="H29" s="502" t="e">
        <f t="shared" si="12"/>
        <v>#REF!</v>
      </c>
      <c r="I29" s="502" t="e">
        <f t="shared" si="12"/>
        <v>#REF!</v>
      </c>
      <c r="J29" s="502" t="e">
        <f t="shared" si="12"/>
        <v>#REF!</v>
      </c>
      <c r="K29" s="502">
        <f t="shared" si="12"/>
        <v>0.031</v>
      </c>
      <c r="L29" s="502">
        <f t="shared" si="12"/>
        <v>0.03</v>
      </c>
      <c r="M29" s="502">
        <f t="shared" si="12"/>
        <v>0.028</v>
      </c>
    </row>
    <row r="30" spans="1:14" s="200" customFormat="1" ht="12.75">
      <c r="A30" s="480"/>
      <c r="G30" s="352"/>
      <c r="H30" s="352"/>
      <c r="I30" s="352"/>
      <c r="J30" s="352"/>
      <c r="K30" s="352"/>
      <c r="L30" s="352"/>
      <c r="M30" s="352"/>
      <c r="N30" s="352"/>
    </row>
    <row r="31" spans="1:14" s="200" customFormat="1" ht="12.75">
      <c r="A31" s="480"/>
      <c r="G31" s="352"/>
      <c r="H31" s="352"/>
      <c r="I31" s="352"/>
      <c r="J31" s="352"/>
      <c r="K31" s="352"/>
      <c r="L31" s="352"/>
      <c r="M31" s="352"/>
      <c r="N31" s="352"/>
    </row>
    <row r="32" spans="1:14" s="200" customFormat="1" ht="12.75">
      <c r="A32" s="480"/>
      <c r="G32" s="353"/>
      <c r="H32" s="353"/>
      <c r="I32" s="353"/>
      <c r="J32" s="353"/>
      <c r="K32" s="353"/>
      <c r="L32" s="353"/>
      <c r="M32" s="353"/>
      <c r="N32" s="353"/>
    </row>
    <row r="33" s="200" customFormat="1" ht="12.75">
      <c r="A33" s="480"/>
    </row>
    <row r="34" s="200" customFormat="1" ht="12.75">
      <c r="A34" s="480"/>
    </row>
    <row r="35" ht="12.75">
      <c r="B35" s="7"/>
    </row>
    <row r="36" ht="12.75">
      <c r="B36" s="7"/>
    </row>
    <row r="37" ht="12.75">
      <c r="B37" s="7"/>
    </row>
    <row r="38" ht="12.75">
      <c r="B38" s="7"/>
    </row>
  </sheetData>
  <mergeCells count="7">
    <mergeCell ref="G1:J1"/>
    <mergeCell ref="A2:I2"/>
    <mergeCell ref="A3:M3"/>
    <mergeCell ref="C4:C5"/>
    <mergeCell ref="B4:B5"/>
    <mergeCell ref="A4:A5"/>
    <mergeCell ref="G4:M5"/>
  </mergeCells>
  <printOptions/>
  <pageMargins left="0.97" right="0.25" top="0.3" bottom="0.3" header="0.18" footer="0.2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H39" sqref="H39"/>
    </sheetView>
  </sheetViews>
  <sheetFormatPr defaultColWidth="9.00390625" defaultRowHeight="12.75"/>
  <cols>
    <col min="1" max="1" width="18.125" style="7" customWidth="1"/>
    <col min="2" max="2" width="14.125" style="110" customWidth="1"/>
    <col min="3" max="3" width="14.125" style="240" customWidth="1"/>
    <col min="4" max="4" width="12.625" style="110" customWidth="1"/>
    <col min="5" max="5" width="9.125" style="110" customWidth="1"/>
    <col min="6" max="6" width="12.25390625" style="240" customWidth="1"/>
    <col min="7" max="7" width="10.75390625" style="110" customWidth="1"/>
    <col min="8" max="8" width="11.875" style="240" customWidth="1"/>
    <col min="9" max="9" width="11.25390625" style="110" customWidth="1"/>
    <col min="10" max="14" width="9.125" style="110" customWidth="1"/>
    <col min="15" max="33" width="9.125" style="239" customWidth="1"/>
  </cols>
  <sheetData>
    <row r="1" spans="2:8" ht="12.75">
      <c r="B1" s="243" t="s">
        <v>365</v>
      </c>
      <c r="C1" s="244" t="s">
        <v>366</v>
      </c>
      <c r="D1" s="243" t="s">
        <v>368</v>
      </c>
      <c r="E1" s="708" t="s">
        <v>370</v>
      </c>
      <c r="F1" s="708"/>
      <c r="G1" s="708" t="s">
        <v>371</v>
      </c>
      <c r="H1" s="708"/>
    </row>
    <row r="2" spans="2:8" ht="12.75">
      <c r="B2" s="122" t="s">
        <v>374</v>
      </c>
      <c r="C2" s="245" t="s">
        <v>367</v>
      </c>
      <c r="D2" s="122" t="s">
        <v>369</v>
      </c>
      <c r="E2" s="122" t="s">
        <v>321</v>
      </c>
      <c r="F2" s="245" t="s">
        <v>372</v>
      </c>
      <c r="G2" s="122" t="s">
        <v>321</v>
      </c>
      <c r="H2" s="245" t="s">
        <v>372</v>
      </c>
    </row>
    <row r="3" spans="1:8" ht="12.75">
      <c r="A3" s="246" t="s">
        <v>342</v>
      </c>
      <c r="B3" s="241">
        <v>812.4</v>
      </c>
      <c r="C3" s="242">
        <v>0.6</v>
      </c>
      <c r="D3" s="241">
        <f>B3*C3</f>
        <v>487.44</v>
      </c>
      <c r="E3" s="241">
        <v>38.39</v>
      </c>
      <c r="F3" s="242">
        <f>D3*E3%</f>
        <v>187.13</v>
      </c>
      <c r="G3" s="241">
        <f>100-E3</f>
        <v>61.61</v>
      </c>
      <c r="H3" s="242">
        <f>D3*G3%</f>
        <v>300.31</v>
      </c>
    </row>
    <row r="4" spans="1:8" ht="12.75">
      <c r="A4" s="246" t="s">
        <v>343</v>
      </c>
      <c r="B4" s="241">
        <v>812.4</v>
      </c>
      <c r="C4" s="242">
        <v>1</v>
      </c>
      <c r="D4" s="241">
        <f aca="true" t="shared" si="0" ref="D4:D25">B4*C4</f>
        <v>812.4</v>
      </c>
      <c r="E4" s="241">
        <v>30.94</v>
      </c>
      <c r="F4" s="242">
        <f aca="true" t="shared" si="1" ref="F4:F25">D4*E4%</f>
        <v>251.36</v>
      </c>
      <c r="G4" s="241">
        <f aca="true" t="shared" si="2" ref="G4:G19">100-E4</f>
        <v>69.06</v>
      </c>
      <c r="H4" s="242">
        <f aca="true" t="shared" si="3" ref="H4:H25">D4*G4%</f>
        <v>561.04</v>
      </c>
    </row>
    <row r="5" spans="1:8" ht="12.75">
      <c r="A5" s="246" t="s">
        <v>344</v>
      </c>
      <c r="B5" s="241">
        <v>830.1</v>
      </c>
      <c r="C5" s="242">
        <v>1</v>
      </c>
      <c r="D5" s="241">
        <f t="shared" si="0"/>
        <v>830.1</v>
      </c>
      <c r="E5" s="241">
        <v>27.09</v>
      </c>
      <c r="F5" s="242">
        <f t="shared" si="1"/>
        <v>224.87</v>
      </c>
      <c r="G5" s="241">
        <f t="shared" si="2"/>
        <v>72.91</v>
      </c>
      <c r="H5" s="242">
        <f t="shared" si="3"/>
        <v>605.23</v>
      </c>
    </row>
    <row r="6" spans="1:8" ht="12.75">
      <c r="A6" s="246" t="s">
        <v>345</v>
      </c>
      <c r="B6" s="241">
        <v>762.13</v>
      </c>
      <c r="C6" s="242">
        <v>0.8</v>
      </c>
      <c r="D6" s="241">
        <f t="shared" si="0"/>
        <v>609.7</v>
      </c>
      <c r="E6" s="241">
        <v>14.49</v>
      </c>
      <c r="F6" s="242">
        <f t="shared" si="1"/>
        <v>88.35</v>
      </c>
      <c r="G6" s="241">
        <f t="shared" si="2"/>
        <v>85.51</v>
      </c>
      <c r="H6" s="242">
        <f t="shared" si="3"/>
        <v>521.35</v>
      </c>
    </row>
    <row r="7" spans="1:8" ht="12.75">
      <c r="A7" s="246" t="s">
        <v>346</v>
      </c>
      <c r="B7" s="241">
        <v>914.96</v>
      </c>
      <c r="C7" s="242">
        <v>1.08</v>
      </c>
      <c r="D7" s="241">
        <f t="shared" si="0"/>
        <v>988.16</v>
      </c>
      <c r="E7" s="241">
        <v>14.2</v>
      </c>
      <c r="F7" s="242">
        <f t="shared" si="1"/>
        <v>140.32</v>
      </c>
      <c r="G7" s="241">
        <f t="shared" si="2"/>
        <v>85.8</v>
      </c>
      <c r="H7" s="242">
        <f t="shared" si="3"/>
        <v>847.84</v>
      </c>
    </row>
    <row r="8" spans="1:8" ht="12.75">
      <c r="A8" s="246" t="s">
        <v>347</v>
      </c>
      <c r="B8" s="241">
        <v>937.8</v>
      </c>
      <c r="C8" s="242">
        <v>1</v>
      </c>
      <c r="D8" s="241">
        <f t="shared" si="0"/>
        <v>937.8</v>
      </c>
      <c r="E8" s="241">
        <v>34.43</v>
      </c>
      <c r="F8" s="242">
        <f t="shared" si="1"/>
        <v>322.88</v>
      </c>
      <c r="G8" s="241">
        <f t="shared" si="2"/>
        <v>65.57</v>
      </c>
      <c r="H8" s="242">
        <f t="shared" si="3"/>
        <v>614.92</v>
      </c>
    </row>
    <row r="9" spans="1:8" ht="12.75">
      <c r="A9" s="246" t="s">
        <v>348</v>
      </c>
      <c r="B9" s="241">
        <v>912.42</v>
      </c>
      <c r="C9" s="242">
        <v>0.8</v>
      </c>
      <c r="D9" s="241">
        <f t="shared" si="0"/>
        <v>729.94</v>
      </c>
      <c r="E9" s="241">
        <v>39.66</v>
      </c>
      <c r="F9" s="242">
        <f t="shared" si="1"/>
        <v>289.49</v>
      </c>
      <c r="G9" s="241">
        <f t="shared" si="2"/>
        <v>60.34</v>
      </c>
      <c r="H9" s="242">
        <f t="shared" si="3"/>
        <v>440.45</v>
      </c>
    </row>
    <row r="10" spans="1:8" ht="12.75">
      <c r="A10" s="246" t="s">
        <v>357</v>
      </c>
      <c r="B10" s="241">
        <v>1153.2</v>
      </c>
      <c r="C10" s="242">
        <v>0.75</v>
      </c>
      <c r="D10" s="241">
        <f t="shared" si="0"/>
        <v>864.9</v>
      </c>
      <c r="E10" s="241">
        <v>62.86</v>
      </c>
      <c r="F10" s="242">
        <f t="shared" si="1"/>
        <v>543.68</v>
      </c>
      <c r="G10" s="241">
        <f t="shared" si="2"/>
        <v>37.14</v>
      </c>
      <c r="H10" s="242">
        <f t="shared" si="3"/>
        <v>321.22</v>
      </c>
    </row>
    <row r="11" spans="1:8" ht="12.75">
      <c r="A11" s="246" t="s">
        <v>358</v>
      </c>
      <c r="B11" s="241">
        <v>394.6</v>
      </c>
      <c r="C11" s="242">
        <v>1</v>
      </c>
      <c r="D11" s="241">
        <f t="shared" si="0"/>
        <v>394.6</v>
      </c>
      <c r="E11" s="241">
        <v>55.3</v>
      </c>
      <c r="F11" s="242">
        <f t="shared" si="1"/>
        <v>218.21</v>
      </c>
      <c r="G11" s="241">
        <f t="shared" si="2"/>
        <v>44.7</v>
      </c>
      <c r="H11" s="242">
        <f t="shared" si="3"/>
        <v>176.39</v>
      </c>
    </row>
    <row r="12" spans="1:8" ht="12.75">
      <c r="A12" s="246" t="s">
        <v>349</v>
      </c>
      <c r="B12" s="241">
        <v>1066.17</v>
      </c>
      <c r="C12" s="242">
        <v>1.4</v>
      </c>
      <c r="D12" s="241">
        <f t="shared" si="0"/>
        <v>1492.64</v>
      </c>
      <c r="E12" s="241">
        <v>50.39</v>
      </c>
      <c r="F12" s="242">
        <f t="shared" si="1"/>
        <v>752.14</v>
      </c>
      <c r="G12" s="241">
        <f t="shared" si="2"/>
        <v>49.61</v>
      </c>
      <c r="H12" s="242">
        <f t="shared" si="3"/>
        <v>740.5</v>
      </c>
    </row>
    <row r="13" spans="1:8" ht="12.75">
      <c r="A13" s="246" t="s">
        <v>350</v>
      </c>
      <c r="B13" s="241">
        <v>1818.64</v>
      </c>
      <c r="C13" s="242">
        <v>1.5</v>
      </c>
      <c r="D13" s="241">
        <f t="shared" si="0"/>
        <v>2727.96</v>
      </c>
      <c r="E13" s="241">
        <v>69.59</v>
      </c>
      <c r="F13" s="242">
        <f t="shared" si="1"/>
        <v>1898.39</v>
      </c>
      <c r="G13" s="241">
        <f t="shared" si="2"/>
        <v>30.41</v>
      </c>
      <c r="H13" s="242">
        <f t="shared" si="3"/>
        <v>829.57</v>
      </c>
    </row>
    <row r="14" spans="1:8" ht="12.75">
      <c r="A14" s="246" t="s">
        <v>351</v>
      </c>
      <c r="B14" s="241">
        <v>1031.5</v>
      </c>
      <c r="C14" s="242">
        <v>1.7</v>
      </c>
      <c r="D14" s="241">
        <f t="shared" si="0"/>
        <v>1753.55</v>
      </c>
      <c r="E14" s="241">
        <v>58.7</v>
      </c>
      <c r="F14" s="242">
        <f t="shared" si="1"/>
        <v>1029.33</v>
      </c>
      <c r="G14" s="241">
        <f t="shared" si="2"/>
        <v>41.3</v>
      </c>
      <c r="H14" s="242">
        <f t="shared" si="3"/>
        <v>724.22</v>
      </c>
    </row>
    <row r="15" spans="1:8" ht="12.75">
      <c r="A15" s="246" t="s">
        <v>352</v>
      </c>
      <c r="B15" s="241">
        <v>1052.92</v>
      </c>
      <c r="C15" s="242">
        <v>0</v>
      </c>
      <c r="D15" s="241">
        <f t="shared" si="0"/>
        <v>0</v>
      </c>
      <c r="E15" s="241">
        <v>0</v>
      </c>
      <c r="F15" s="242">
        <f t="shared" si="1"/>
        <v>0</v>
      </c>
      <c r="G15" s="241">
        <f t="shared" si="2"/>
        <v>100</v>
      </c>
      <c r="H15" s="242">
        <f t="shared" si="3"/>
        <v>0</v>
      </c>
    </row>
    <row r="16" spans="1:8" ht="12.75">
      <c r="A16" s="246" t="s">
        <v>353</v>
      </c>
      <c r="B16" s="241">
        <v>2377.91</v>
      </c>
      <c r="C16" s="242">
        <v>0.7</v>
      </c>
      <c r="D16" s="241">
        <f t="shared" si="0"/>
        <v>1664.54</v>
      </c>
      <c r="E16" s="241">
        <v>27.83</v>
      </c>
      <c r="F16" s="242">
        <f t="shared" si="1"/>
        <v>463.24</v>
      </c>
      <c r="G16" s="241">
        <f t="shared" si="2"/>
        <v>72.17</v>
      </c>
      <c r="H16" s="242">
        <f t="shared" si="3"/>
        <v>1201.3</v>
      </c>
    </row>
    <row r="17" spans="1:8" ht="12.75">
      <c r="A17" s="246" t="s">
        <v>354</v>
      </c>
      <c r="B17" s="241">
        <v>295.49</v>
      </c>
      <c r="C17" s="242">
        <v>0.5</v>
      </c>
      <c r="D17" s="241">
        <f t="shared" si="0"/>
        <v>147.75</v>
      </c>
      <c r="E17" s="241">
        <v>37.69</v>
      </c>
      <c r="F17" s="242">
        <f t="shared" si="1"/>
        <v>55.69</v>
      </c>
      <c r="G17" s="241">
        <f t="shared" si="2"/>
        <v>62.31</v>
      </c>
      <c r="H17" s="242">
        <f t="shared" si="3"/>
        <v>92.06</v>
      </c>
    </row>
    <row r="18" spans="1:8" ht="12.75">
      <c r="A18" s="246" t="s">
        <v>355</v>
      </c>
      <c r="B18" s="241">
        <v>209.79</v>
      </c>
      <c r="C18" s="242">
        <v>2</v>
      </c>
      <c r="D18" s="241">
        <f t="shared" si="0"/>
        <v>419.58</v>
      </c>
      <c r="E18" s="241">
        <v>51.12</v>
      </c>
      <c r="F18" s="242">
        <f t="shared" si="1"/>
        <v>214.49</v>
      </c>
      <c r="G18" s="241">
        <f t="shared" si="2"/>
        <v>48.88</v>
      </c>
      <c r="H18" s="242">
        <f t="shared" si="3"/>
        <v>205.09</v>
      </c>
    </row>
    <row r="19" spans="1:8" ht="12.75">
      <c r="A19" s="246" t="s">
        <v>356</v>
      </c>
      <c r="B19" s="241">
        <v>296.64</v>
      </c>
      <c r="C19" s="242"/>
      <c r="D19" s="241">
        <f t="shared" si="0"/>
        <v>0</v>
      </c>
      <c r="E19" s="241">
        <v>74.4</v>
      </c>
      <c r="F19" s="242">
        <f t="shared" si="1"/>
        <v>0</v>
      </c>
      <c r="G19" s="241">
        <f t="shared" si="2"/>
        <v>25.6</v>
      </c>
      <c r="H19" s="242">
        <f t="shared" si="3"/>
        <v>0</v>
      </c>
    </row>
    <row r="20" spans="1:8" ht="12.75">
      <c r="A20" s="246" t="s">
        <v>359</v>
      </c>
      <c r="B20" s="241"/>
      <c r="C20" s="242"/>
      <c r="D20" s="241">
        <f t="shared" si="0"/>
        <v>0</v>
      </c>
      <c r="E20" s="241"/>
      <c r="F20" s="242">
        <f t="shared" si="1"/>
        <v>0</v>
      </c>
      <c r="G20" s="241"/>
      <c r="H20" s="242">
        <f t="shared" si="3"/>
        <v>0</v>
      </c>
    </row>
    <row r="21" spans="1:8" ht="12.75">
      <c r="A21" s="246" t="s">
        <v>360</v>
      </c>
      <c r="B21" s="241"/>
      <c r="C21" s="242"/>
      <c r="D21" s="241">
        <f t="shared" si="0"/>
        <v>0</v>
      </c>
      <c r="E21" s="241"/>
      <c r="F21" s="242">
        <f t="shared" si="1"/>
        <v>0</v>
      </c>
      <c r="G21" s="241"/>
      <c r="H21" s="242">
        <f t="shared" si="3"/>
        <v>0</v>
      </c>
    </row>
    <row r="22" spans="1:8" ht="12.75">
      <c r="A22" s="246" t="s">
        <v>361</v>
      </c>
      <c r="B22" s="241"/>
      <c r="C22" s="242"/>
      <c r="D22" s="241">
        <f t="shared" si="0"/>
        <v>0</v>
      </c>
      <c r="E22" s="241"/>
      <c r="F22" s="242">
        <f t="shared" si="1"/>
        <v>0</v>
      </c>
      <c r="G22" s="241"/>
      <c r="H22" s="242">
        <f t="shared" si="3"/>
        <v>0</v>
      </c>
    </row>
    <row r="23" spans="1:8" ht="12.75">
      <c r="A23" s="246" t="s">
        <v>362</v>
      </c>
      <c r="B23" s="241"/>
      <c r="C23" s="242"/>
      <c r="D23" s="241">
        <f t="shared" si="0"/>
        <v>0</v>
      </c>
      <c r="E23" s="241"/>
      <c r="F23" s="242">
        <f t="shared" si="1"/>
        <v>0</v>
      </c>
      <c r="G23" s="241"/>
      <c r="H23" s="242">
        <f t="shared" si="3"/>
        <v>0</v>
      </c>
    </row>
    <row r="24" spans="1:8" ht="12.75">
      <c r="A24" s="246" t="s">
        <v>363</v>
      </c>
      <c r="B24" s="241"/>
      <c r="C24" s="242"/>
      <c r="D24" s="241">
        <f t="shared" si="0"/>
        <v>0</v>
      </c>
      <c r="E24" s="241"/>
      <c r="F24" s="242">
        <f t="shared" si="1"/>
        <v>0</v>
      </c>
      <c r="G24" s="241"/>
      <c r="H24" s="242">
        <f>D24*G24%</f>
        <v>0</v>
      </c>
    </row>
    <row r="25" spans="1:8" ht="12.75">
      <c r="A25" s="246" t="s">
        <v>364</v>
      </c>
      <c r="B25" s="241"/>
      <c r="C25" s="242"/>
      <c r="D25" s="241">
        <f t="shared" si="0"/>
        <v>0</v>
      </c>
      <c r="E25" s="241"/>
      <c r="F25" s="242">
        <f t="shared" si="1"/>
        <v>0</v>
      </c>
      <c r="G25" s="241"/>
      <c r="H25" s="242">
        <f t="shared" si="3"/>
        <v>0</v>
      </c>
    </row>
    <row r="26" spans="2:8" ht="12.75">
      <c r="B26" s="236">
        <f>SUM(B3:B25)</f>
        <v>15679.07</v>
      </c>
      <c r="C26" s="247">
        <f aca="true" t="shared" si="4" ref="C26:H26">SUM(C3:C25)</f>
        <v>15.83</v>
      </c>
      <c r="D26" s="236">
        <f t="shared" si="4"/>
        <v>14861.06</v>
      </c>
      <c r="E26" s="236">
        <f t="shared" si="4"/>
        <v>687.08</v>
      </c>
      <c r="F26" s="247">
        <f t="shared" si="4"/>
        <v>6679.57</v>
      </c>
      <c r="G26" s="236">
        <f t="shared" si="4"/>
        <v>1012.92</v>
      </c>
      <c r="H26" s="247">
        <f t="shared" si="4"/>
        <v>8181.49</v>
      </c>
    </row>
    <row r="27" spans="6:8" ht="12.75">
      <c r="F27" s="247">
        <f>F26*12</f>
        <v>80154.84</v>
      </c>
      <c r="H27" s="247">
        <f>H26*12</f>
        <v>98177.88</v>
      </c>
    </row>
    <row r="29" spans="2:5" ht="12.75">
      <c r="B29" s="123" t="str">
        <f>B1</f>
        <v>Powierzchnia </v>
      </c>
      <c r="C29" s="249" t="s">
        <v>370</v>
      </c>
      <c r="D29" s="110" t="s">
        <v>365</v>
      </c>
      <c r="E29" s="110" t="str">
        <f>C1</f>
        <v>Zaliczka </v>
      </c>
    </row>
    <row r="30" spans="2:5" ht="12.75">
      <c r="B30" s="123" t="str">
        <f aca="true" t="shared" si="5" ref="A30:B42">B2</f>
        <v>ogólna budynku</v>
      </c>
      <c r="C30" s="249" t="s">
        <v>373</v>
      </c>
      <c r="D30" s="110" t="s">
        <v>375</v>
      </c>
      <c r="E30" s="110" t="str">
        <f>C2</f>
        <v>za m2</v>
      </c>
    </row>
    <row r="31" spans="1:6" ht="12.75">
      <c r="A31" s="246" t="str">
        <f t="shared" si="5"/>
        <v>Plac Chopina 1</v>
      </c>
      <c r="B31" s="241">
        <f t="shared" si="5"/>
        <v>812.4</v>
      </c>
      <c r="C31" s="241">
        <f aca="true" t="shared" si="6" ref="C31:C42">E3</f>
        <v>38.39</v>
      </c>
      <c r="D31" s="241">
        <f>B31*C31%</f>
        <v>311.88</v>
      </c>
      <c r="E31" s="241">
        <f>C3</f>
        <v>0.6</v>
      </c>
      <c r="F31" s="242">
        <f>D31*E31</f>
        <v>187.13</v>
      </c>
    </row>
    <row r="32" spans="1:6" ht="12.75">
      <c r="A32" s="246" t="str">
        <f t="shared" si="5"/>
        <v>Plac Chopina 2</v>
      </c>
      <c r="B32" s="241">
        <f t="shared" si="5"/>
        <v>812.4</v>
      </c>
      <c r="C32" s="241">
        <f t="shared" si="6"/>
        <v>30.94</v>
      </c>
      <c r="D32" s="241">
        <f aca="true" t="shared" si="7" ref="D32:D45">B32*C32%</f>
        <v>251.36</v>
      </c>
      <c r="E32" s="241">
        <f aca="true" t="shared" si="8" ref="E32:E42">C4</f>
        <v>1</v>
      </c>
      <c r="F32" s="242">
        <f aca="true" t="shared" si="9" ref="F32:F45">D32*E32</f>
        <v>251.36</v>
      </c>
    </row>
    <row r="33" spans="1:6" ht="12.75">
      <c r="A33" s="246" t="str">
        <f t="shared" si="5"/>
        <v>Plac Chopina 3</v>
      </c>
      <c r="B33" s="241">
        <f t="shared" si="5"/>
        <v>830.1</v>
      </c>
      <c r="C33" s="241">
        <f t="shared" si="6"/>
        <v>27.09</v>
      </c>
      <c r="D33" s="241">
        <f t="shared" si="7"/>
        <v>224.87</v>
      </c>
      <c r="E33" s="241">
        <f t="shared" si="8"/>
        <v>1</v>
      </c>
      <c r="F33" s="242">
        <f t="shared" si="9"/>
        <v>224.87</v>
      </c>
    </row>
    <row r="34" spans="1:6" ht="12.75">
      <c r="A34" s="246" t="str">
        <f t="shared" si="5"/>
        <v>Plac Chopina 4</v>
      </c>
      <c r="B34" s="241">
        <f t="shared" si="5"/>
        <v>762.13</v>
      </c>
      <c r="C34" s="241">
        <f t="shared" si="6"/>
        <v>14.49</v>
      </c>
      <c r="D34" s="241">
        <f t="shared" si="7"/>
        <v>110.43</v>
      </c>
      <c r="E34" s="241">
        <f t="shared" si="8"/>
        <v>0.8</v>
      </c>
      <c r="F34" s="242">
        <f t="shared" si="9"/>
        <v>88.34</v>
      </c>
    </row>
    <row r="35" spans="1:6" ht="12.75">
      <c r="A35" s="246" t="str">
        <f t="shared" si="5"/>
        <v>Plac Chopina 5</v>
      </c>
      <c r="B35" s="241">
        <f t="shared" si="5"/>
        <v>914.96</v>
      </c>
      <c r="C35" s="241">
        <f t="shared" si="6"/>
        <v>14.2</v>
      </c>
      <c r="D35" s="241">
        <f t="shared" si="7"/>
        <v>129.92</v>
      </c>
      <c r="E35" s="241">
        <f t="shared" si="8"/>
        <v>1.08</v>
      </c>
      <c r="F35" s="242">
        <f t="shared" si="9"/>
        <v>140.31</v>
      </c>
    </row>
    <row r="36" spans="1:6" ht="12.75">
      <c r="A36" s="246" t="str">
        <f t="shared" si="5"/>
        <v>Plac Chopina 6</v>
      </c>
      <c r="B36" s="241">
        <f t="shared" si="5"/>
        <v>937.8</v>
      </c>
      <c r="C36" s="241">
        <f t="shared" si="6"/>
        <v>34.43</v>
      </c>
      <c r="D36" s="241">
        <f t="shared" si="7"/>
        <v>322.88</v>
      </c>
      <c r="E36" s="241">
        <f t="shared" si="8"/>
        <v>1</v>
      </c>
      <c r="F36" s="242">
        <f t="shared" si="9"/>
        <v>322.88</v>
      </c>
    </row>
    <row r="37" spans="1:6" ht="12.75">
      <c r="A37" s="246" t="str">
        <f t="shared" si="5"/>
        <v>Plac Chopina 7</v>
      </c>
      <c r="B37" s="241">
        <f t="shared" si="5"/>
        <v>912.42</v>
      </c>
      <c r="C37" s="241">
        <f t="shared" si="6"/>
        <v>39.66</v>
      </c>
      <c r="D37" s="241">
        <f t="shared" si="7"/>
        <v>361.87</v>
      </c>
      <c r="E37" s="241">
        <f t="shared" si="8"/>
        <v>0.8</v>
      </c>
      <c r="F37" s="242">
        <f t="shared" si="9"/>
        <v>289.5</v>
      </c>
    </row>
    <row r="38" spans="1:6" ht="12.75">
      <c r="A38" s="246" t="str">
        <f t="shared" si="5"/>
        <v>1-go Maja 16</v>
      </c>
      <c r="B38" s="241">
        <f t="shared" si="5"/>
        <v>1153.2</v>
      </c>
      <c r="C38" s="241">
        <f t="shared" si="6"/>
        <v>62.86</v>
      </c>
      <c r="D38" s="241">
        <f t="shared" si="7"/>
        <v>724.9</v>
      </c>
      <c r="E38" s="241">
        <f t="shared" si="8"/>
        <v>0.75</v>
      </c>
      <c r="F38" s="242">
        <f t="shared" si="9"/>
        <v>543.68</v>
      </c>
    </row>
    <row r="39" spans="1:6" ht="12.75">
      <c r="A39" s="246" t="str">
        <f t="shared" si="5"/>
        <v>1-go Maja 18</v>
      </c>
      <c r="B39" s="241">
        <f t="shared" si="5"/>
        <v>394.6</v>
      </c>
      <c r="C39" s="241">
        <f t="shared" si="6"/>
        <v>55.3</v>
      </c>
      <c r="D39" s="241">
        <f t="shared" si="7"/>
        <v>218.21</v>
      </c>
      <c r="E39" s="241">
        <f t="shared" si="8"/>
        <v>1</v>
      </c>
      <c r="F39" s="242">
        <f t="shared" si="9"/>
        <v>218.21</v>
      </c>
    </row>
    <row r="40" spans="1:6" ht="12.75">
      <c r="A40" s="246" t="str">
        <f t="shared" si="5"/>
        <v>Pionierska 6</v>
      </c>
      <c r="B40" s="241">
        <f t="shared" si="5"/>
        <v>1066.17</v>
      </c>
      <c r="C40" s="241">
        <f t="shared" si="6"/>
        <v>50.39</v>
      </c>
      <c r="D40" s="241">
        <f t="shared" si="7"/>
        <v>537.24</v>
      </c>
      <c r="E40" s="241">
        <f t="shared" si="8"/>
        <v>1.4</v>
      </c>
      <c r="F40" s="242">
        <f t="shared" si="9"/>
        <v>752.14</v>
      </c>
    </row>
    <row r="41" spans="1:6" ht="12.75">
      <c r="A41" s="246" t="str">
        <f t="shared" si="5"/>
        <v>Korczaka 4</v>
      </c>
      <c r="B41" s="241">
        <f t="shared" si="5"/>
        <v>1818.64</v>
      </c>
      <c r="C41" s="241">
        <f t="shared" si="6"/>
        <v>69.59</v>
      </c>
      <c r="D41" s="241">
        <f t="shared" si="7"/>
        <v>1265.59</v>
      </c>
      <c r="E41" s="241">
        <f t="shared" si="8"/>
        <v>1.5</v>
      </c>
      <c r="F41" s="242">
        <f t="shared" si="9"/>
        <v>1898.39</v>
      </c>
    </row>
    <row r="42" spans="1:6" ht="12.75">
      <c r="A42" s="246" t="str">
        <f t="shared" si="5"/>
        <v>Korczaka 5</v>
      </c>
      <c r="B42" s="241">
        <f t="shared" si="5"/>
        <v>1031.5</v>
      </c>
      <c r="C42" s="241">
        <f t="shared" si="6"/>
        <v>58.7</v>
      </c>
      <c r="D42" s="241">
        <f t="shared" si="7"/>
        <v>605.49</v>
      </c>
      <c r="E42" s="241">
        <f t="shared" si="8"/>
        <v>1.7</v>
      </c>
      <c r="F42" s="242">
        <f t="shared" si="9"/>
        <v>1029.33</v>
      </c>
    </row>
    <row r="43" spans="1:6" ht="12.75">
      <c r="A43" s="246" t="str">
        <f aca="true" t="shared" si="10" ref="A43:B45">A16</f>
        <v>Gombrowicza 39</v>
      </c>
      <c r="B43" s="241">
        <f t="shared" si="10"/>
        <v>2377.91</v>
      </c>
      <c r="C43" s="241">
        <f>E16</f>
        <v>27.83</v>
      </c>
      <c r="D43" s="241">
        <f t="shared" si="7"/>
        <v>661.77</v>
      </c>
      <c r="E43" s="241">
        <f>C16</f>
        <v>0.7</v>
      </c>
      <c r="F43" s="242">
        <f t="shared" si="9"/>
        <v>463.24</v>
      </c>
    </row>
    <row r="44" spans="1:6" ht="12.75">
      <c r="A44" s="246" t="str">
        <f t="shared" si="10"/>
        <v>Dwernickiego 4</v>
      </c>
      <c r="B44" s="241">
        <f t="shared" si="10"/>
        <v>295.49</v>
      </c>
      <c r="C44" s="241">
        <f>E17</f>
        <v>37.69</v>
      </c>
      <c r="D44" s="241">
        <f t="shared" si="7"/>
        <v>111.37</v>
      </c>
      <c r="E44" s="241">
        <f>C17</f>
        <v>0.5</v>
      </c>
      <c r="F44" s="242">
        <f t="shared" si="9"/>
        <v>55.69</v>
      </c>
    </row>
    <row r="45" spans="1:6" ht="12.75">
      <c r="A45" s="246" t="str">
        <f t="shared" si="10"/>
        <v>29-go Listopada 3</v>
      </c>
      <c r="B45" s="241">
        <f t="shared" si="10"/>
        <v>209.79</v>
      </c>
      <c r="C45" s="241">
        <f>E18</f>
        <v>51.12</v>
      </c>
      <c r="D45" s="241">
        <f t="shared" si="7"/>
        <v>107.24</v>
      </c>
      <c r="E45" s="241">
        <f>C18</f>
        <v>2</v>
      </c>
      <c r="F45" s="242">
        <f t="shared" si="9"/>
        <v>214.48</v>
      </c>
    </row>
    <row r="46" spans="4:6" ht="12.75">
      <c r="D46" s="247"/>
      <c r="E46" s="247"/>
      <c r="F46" s="247">
        <f>SUM(F31:F45)</f>
        <v>6679.55</v>
      </c>
    </row>
    <row r="48" ht="12.75">
      <c r="F48" s="240">
        <f>F46*12</f>
        <v>80154.6</v>
      </c>
    </row>
  </sheetData>
  <mergeCells count="2"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80">
      <selection activeCell="F108" sqref="F108"/>
    </sheetView>
  </sheetViews>
  <sheetFormatPr defaultColWidth="9.00390625" defaultRowHeight="12.75"/>
  <cols>
    <col min="1" max="1" width="28.25390625" style="512" customWidth="1"/>
    <col min="2" max="2" width="19.625" style="533" customWidth="1"/>
    <col min="3" max="3" width="7.125" style="530" customWidth="1"/>
    <col min="4" max="4" width="15.875" style="531" customWidth="1"/>
    <col min="5" max="5" width="9.125" style="512" customWidth="1"/>
    <col min="6" max="6" width="13.375" style="512" customWidth="1"/>
    <col min="7" max="11" width="15.00390625" style="7" customWidth="1"/>
    <col min="12" max="16384" width="9.125" style="7" customWidth="1"/>
  </cols>
  <sheetData>
    <row r="1" ht="16.5">
      <c r="A1" s="512" t="s">
        <v>579</v>
      </c>
    </row>
    <row r="3" spans="2:3" ht="16.5">
      <c r="B3" s="532" t="s">
        <v>119</v>
      </c>
      <c r="C3" s="530" t="s">
        <v>321</v>
      </c>
    </row>
    <row r="4" spans="1:3" ht="16.5">
      <c r="A4" s="511" t="s">
        <v>447</v>
      </c>
      <c r="B4" s="534" t="e">
        <f>#REF!</f>
        <v>#REF!</v>
      </c>
      <c r="C4" s="530">
        <v>100</v>
      </c>
    </row>
    <row r="5" spans="1:3" ht="16.5">
      <c r="A5" s="528" t="s">
        <v>3</v>
      </c>
      <c r="B5" s="533" t="e">
        <f>#REF!</f>
        <v>#REF!</v>
      </c>
      <c r="C5" s="530" t="e">
        <f>B5/B4%</f>
        <v>#REF!</v>
      </c>
    </row>
    <row r="6" spans="1:3" ht="16.5">
      <c r="A6" s="528" t="s">
        <v>556</v>
      </c>
      <c r="B6" s="533" t="e">
        <f>#REF!</f>
        <v>#REF!</v>
      </c>
      <c r="C6" s="530" t="e">
        <f>B6/B4%</f>
        <v>#REF!</v>
      </c>
    </row>
    <row r="8" spans="2:3" ht="16.5">
      <c r="B8" s="532" t="s">
        <v>119</v>
      </c>
      <c r="C8" s="530" t="s">
        <v>321</v>
      </c>
    </row>
    <row r="9" spans="1:9" ht="16.5">
      <c r="A9" s="543" t="str">
        <f>A5</f>
        <v>Dochody bieżące</v>
      </c>
      <c r="B9" s="537" t="e">
        <f>B10+B11+B12</f>
        <v>#REF!</v>
      </c>
      <c r="C9" s="538">
        <v>100</v>
      </c>
      <c r="H9" s="193"/>
      <c r="I9" s="193"/>
    </row>
    <row r="10" spans="1:9" ht="16.5">
      <c r="A10" s="512" t="s">
        <v>580</v>
      </c>
      <c r="B10" s="535" t="e">
        <f>#REF!+#REF!+#REF!+#REF!+#REF!</f>
        <v>#REF!</v>
      </c>
      <c r="C10" s="530" t="e">
        <f>B10/B9%</f>
        <v>#REF!</v>
      </c>
      <c r="H10" s="193"/>
      <c r="I10" s="193"/>
    </row>
    <row r="11" spans="1:8" ht="16.5">
      <c r="A11" s="512" t="s">
        <v>449</v>
      </c>
      <c r="B11" s="535" t="e">
        <f>#REF!+#REF!+#REF!</f>
        <v>#REF!</v>
      </c>
      <c r="C11" s="530" t="e">
        <f>B11/B9%</f>
        <v>#REF!</v>
      </c>
      <c r="D11" s="596"/>
      <c r="E11" s="596"/>
      <c r="H11" s="193"/>
    </row>
    <row r="12" spans="1:5" ht="16.5">
      <c r="A12" s="512" t="s">
        <v>448</v>
      </c>
      <c r="B12" s="535" t="e">
        <f>#REF!+#REF!+#REF!+#REF!+#REF!+#REF!+#REF!+#REF!</f>
        <v>#REF!</v>
      </c>
      <c r="C12" s="530" t="e">
        <f>B12/B9%</f>
        <v>#REF!</v>
      </c>
      <c r="D12" s="597"/>
      <c r="E12" s="597"/>
    </row>
    <row r="13" ht="16.5">
      <c r="B13" s="535"/>
    </row>
    <row r="14" spans="2:3" ht="16.5">
      <c r="B14" s="532" t="s">
        <v>119</v>
      </c>
      <c r="C14" s="530" t="s">
        <v>321</v>
      </c>
    </row>
    <row r="15" spans="1:6" s="542" customFormat="1" ht="16.5">
      <c r="A15" s="539" t="str">
        <f>A10</f>
        <v>Dochody własne</v>
      </c>
      <c r="B15" s="540" t="e">
        <f>B16+B17+B18+B19+B20</f>
        <v>#REF!</v>
      </c>
      <c r="C15" s="538">
        <v>100</v>
      </c>
      <c r="D15" s="541"/>
      <c r="E15" s="539"/>
      <c r="F15" s="539"/>
    </row>
    <row r="16" spans="1:3" ht="16.5">
      <c r="A16" s="512" t="e">
        <f>#REF!</f>
        <v>#REF!</v>
      </c>
      <c r="B16" s="535" t="e">
        <f>#REF!</f>
        <v>#REF!</v>
      </c>
      <c r="C16" s="530" t="e">
        <f>B16/B15%</f>
        <v>#REF!</v>
      </c>
    </row>
    <row r="17" spans="1:3" ht="16.5">
      <c r="A17" s="512" t="e">
        <f>#REF!</f>
        <v>#REF!</v>
      </c>
      <c r="B17" s="535" t="e">
        <f>#REF!</f>
        <v>#REF!</v>
      </c>
      <c r="C17" s="530" t="e">
        <f>B17/B15%</f>
        <v>#REF!</v>
      </c>
    </row>
    <row r="18" spans="1:3" ht="16.5">
      <c r="A18" s="512" t="e">
        <f>#REF!</f>
        <v>#REF!</v>
      </c>
      <c r="B18" s="535" t="e">
        <f>#REF!</f>
        <v>#REF!</v>
      </c>
      <c r="C18" s="530" t="e">
        <f>B18/B15%</f>
        <v>#REF!</v>
      </c>
    </row>
    <row r="19" spans="1:3" ht="16.5">
      <c r="A19" s="512" t="e">
        <f>#REF!</f>
        <v>#REF!</v>
      </c>
      <c r="B19" s="535" t="e">
        <f>#REF!</f>
        <v>#REF!</v>
      </c>
      <c r="C19" s="530" t="e">
        <f>B19/B15%</f>
        <v>#REF!</v>
      </c>
    </row>
    <row r="20" spans="1:9" ht="16.5">
      <c r="A20" s="512" t="e">
        <f>#REF!</f>
        <v>#REF!</v>
      </c>
      <c r="B20" s="535" t="e">
        <f>#REF!</f>
        <v>#REF!</v>
      </c>
      <c r="C20" s="530" t="e">
        <f>B20/B15%</f>
        <v>#REF!</v>
      </c>
      <c r="H20" s="110"/>
      <c r="I20" s="193"/>
    </row>
    <row r="21" spans="1:9" ht="16.5">
      <c r="A21" s="512" t="s">
        <v>584</v>
      </c>
      <c r="B21" s="535" t="e">
        <f>#REF!</f>
        <v>#REF!</v>
      </c>
      <c r="H21" s="110"/>
      <c r="I21" s="193"/>
    </row>
    <row r="22" spans="1:9" ht="16.5">
      <c r="A22" s="512" t="s">
        <v>585</v>
      </c>
      <c r="B22" s="535" t="e">
        <f>#REF!</f>
        <v>#REF!</v>
      </c>
      <c r="H22" s="110"/>
      <c r="I22" s="193"/>
    </row>
    <row r="23" spans="1:9" ht="16.5">
      <c r="A23" s="512" t="s">
        <v>586</v>
      </c>
      <c r="B23" s="535" t="e">
        <f>#REF!</f>
        <v>#REF!</v>
      </c>
      <c r="H23" s="110"/>
      <c r="I23" s="193"/>
    </row>
    <row r="24" spans="1:9" ht="16.5">
      <c r="A24" s="512" t="s">
        <v>587</v>
      </c>
      <c r="B24" s="535" t="e">
        <f>#REF!</f>
        <v>#REF!</v>
      </c>
      <c r="H24" s="110"/>
      <c r="I24" s="193"/>
    </row>
    <row r="25" spans="2:9" ht="16.5">
      <c r="B25" s="535"/>
      <c r="H25" s="110"/>
      <c r="I25" s="193"/>
    </row>
    <row r="26" spans="2:9" ht="16.5">
      <c r="B26" s="532" t="s">
        <v>119</v>
      </c>
      <c r="C26" s="530" t="s">
        <v>321</v>
      </c>
      <c r="H26" s="110"/>
      <c r="I26" s="193"/>
    </row>
    <row r="27" spans="1:9" ht="16.5">
      <c r="A27" s="539" t="str">
        <f>A11</f>
        <v>Subwencje</v>
      </c>
      <c r="B27" s="540" t="e">
        <f>B28+B29+B30</f>
        <v>#REF!</v>
      </c>
      <c r="C27" s="538">
        <v>100</v>
      </c>
      <c r="H27" s="110"/>
      <c r="I27" s="193"/>
    </row>
    <row r="28" spans="1:9" ht="16.5">
      <c r="A28" s="545" t="e">
        <f>#REF!</f>
        <v>#REF!</v>
      </c>
      <c r="B28" s="546" t="e">
        <f>#REF!</f>
        <v>#REF!</v>
      </c>
      <c r="C28" s="547" t="e">
        <f>B28/B27%</f>
        <v>#REF!</v>
      </c>
      <c r="H28" s="110"/>
      <c r="I28" s="193"/>
    </row>
    <row r="29" spans="1:9" ht="16.5">
      <c r="A29" s="545" t="e">
        <f>#REF!</f>
        <v>#REF!</v>
      </c>
      <c r="B29" s="546" t="e">
        <f>#REF!</f>
        <v>#REF!</v>
      </c>
      <c r="C29" s="547" t="e">
        <f>B29/B27%</f>
        <v>#REF!</v>
      </c>
      <c r="H29" s="110"/>
      <c r="I29" s="193"/>
    </row>
    <row r="30" spans="1:9" ht="16.5">
      <c r="A30" s="545" t="e">
        <f>#REF!</f>
        <v>#REF!</v>
      </c>
      <c r="B30" s="546" t="e">
        <f>#REF!</f>
        <v>#REF!</v>
      </c>
      <c r="C30" s="547" t="e">
        <f>B30/B27%</f>
        <v>#REF!</v>
      </c>
      <c r="H30" s="110"/>
      <c r="I30" s="193"/>
    </row>
    <row r="31" spans="2:9" ht="16.5">
      <c r="B31" s="535"/>
      <c r="H31" s="110"/>
      <c r="I31" s="193"/>
    </row>
    <row r="32" spans="2:9" ht="16.5">
      <c r="B32" s="562" t="s">
        <v>119</v>
      </c>
      <c r="C32" s="538" t="s">
        <v>321</v>
      </c>
      <c r="H32" s="110"/>
      <c r="I32" s="193"/>
    </row>
    <row r="33" spans="1:9" ht="16.5">
      <c r="A33" s="536" t="str">
        <f>A6</f>
        <v>Dochody majątkowe</v>
      </c>
      <c r="B33" s="540" t="e">
        <f>B34+B35+B36</f>
        <v>#REF!</v>
      </c>
      <c r="C33" s="538">
        <v>100</v>
      </c>
      <c r="H33" s="110"/>
      <c r="I33" s="193"/>
    </row>
    <row r="34" spans="1:9" ht="16.5">
      <c r="A34" s="512" t="s">
        <v>588</v>
      </c>
      <c r="B34" s="535" t="e">
        <f>#REF!</f>
        <v>#REF!</v>
      </c>
      <c r="C34" s="530" t="e">
        <f>B34/B33%</f>
        <v>#REF!</v>
      </c>
      <c r="H34" s="110"/>
      <c r="I34" s="193"/>
    </row>
    <row r="35" spans="1:9" ht="16.5">
      <c r="A35" s="512" t="s">
        <v>583</v>
      </c>
      <c r="B35" s="535" t="e">
        <f>#REF!</f>
        <v>#REF!</v>
      </c>
      <c r="C35" s="530" t="e">
        <f>B35/B33%</f>
        <v>#REF!</v>
      </c>
      <c r="H35" s="110"/>
      <c r="I35" s="193"/>
    </row>
    <row r="36" spans="1:9" ht="16.5">
      <c r="A36" s="512" t="s">
        <v>581</v>
      </c>
      <c r="B36" s="535" t="e">
        <f>#REF!</f>
        <v>#REF!</v>
      </c>
      <c r="C36" s="530" t="e">
        <f>B36/B33%</f>
        <v>#REF!</v>
      </c>
      <c r="H36" s="110"/>
      <c r="I36" s="193"/>
    </row>
    <row r="37" spans="1:9" ht="16.5">
      <c r="A37" s="512" t="s">
        <v>594</v>
      </c>
      <c r="B37" s="535" t="e">
        <f>#REF!</f>
        <v>#REF!</v>
      </c>
      <c r="H37" s="110"/>
      <c r="I37" s="193"/>
    </row>
    <row r="38" spans="1:9" ht="16.5">
      <c r="A38" s="513" t="s">
        <v>589</v>
      </c>
      <c r="B38" s="535" t="e">
        <f>#REF!</f>
        <v>#REF!</v>
      </c>
      <c r="H38" s="110"/>
      <c r="I38" s="193"/>
    </row>
    <row r="39" spans="1:9" ht="16.5">
      <c r="A39" s="512" t="s">
        <v>590</v>
      </c>
      <c r="B39" s="535" t="e">
        <f>#REF!</f>
        <v>#REF!</v>
      </c>
      <c r="H39" s="110"/>
      <c r="I39" s="193"/>
    </row>
    <row r="40" spans="1:9" ht="16.5">
      <c r="A40" s="512" t="s">
        <v>591</v>
      </c>
      <c r="B40" s="535" t="e">
        <f>#REF!</f>
        <v>#REF!</v>
      </c>
      <c r="H40" s="110"/>
      <c r="I40" s="193"/>
    </row>
    <row r="41" spans="1:9" ht="16.5">
      <c r="A41" s="512" t="s">
        <v>592</v>
      </c>
      <c r="B41" s="535" t="e">
        <f>#REF!</f>
        <v>#REF!</v>
      </c>
      <c r="H41" s="110"/>
      <c r="I41" s="193"/>
    </row>
    <row r="42" spans="2:9" ht="16.5">
      <c r="B42" s="535"/>
      <c r="H42" s="110"/>
      <c r="I42" s="193"/>
    </row>
    <row r="43" spans="2:9" ht="16.5">
      <c r="B43" s="562" t="s">
        <v>119</v>
      </c>
      <c r="C43" s="538" t="s">
        <v>321</v>
      </c>
      <c r="H43" s="110"/>
      <c r="I43" s="193"/>
    </row>
    <row r="44" spans="1:9" ht="16.5">
      <c r="A44" s="539" t="s">
        <v>593</v>
      </c>
      <c r="B44" s="540" t="e">
        <f>B45+B46</f>
        <v>#REF!</v>
      </c>
      <c r="H44" s="110"/>
      <c r="I44" s="193"/>
    </row>
    <row r="45" spans="1:9" ht="16.5">
      <c r="A45" s="512" t="s">
        <v>591</v>
      </c>
      <c r="B45" s="535" t="e">
        <f>B40</f>
        <v>#REF!</v>
      </c>
      <c r="H45" s="110"/>
      <c r="I45" s="193"/>
    </row>
    <row r="46" spans="1:9" ht="16.5">
      <c r="A46" s="512" t="s">
        <v>590</v>
      </c>
      <c r="B46" s="535" t="e">
        <f>B39</f>
        <v>#REF!</v>
      </c>
      <c r="C46" s="7"/>
      <c r="D46" s="7"/>
      <c r="H46" s="110"/>
      <c r="I46" s="193"/>
    </row>
    <row r="47" spans="2:9" ht="16.5">
      <c r="B47" s="532"/>
      <c r="D47" s="529"/>
      <c r="H47" s="110"/>
      <c r="I47" s="193"/>
    </row>
    <row r="48" spans="2:9" ht="16.5">
      <c r="B48" s="532"/>
      <c r="D48" s="529"/>
      <c r="H48" s="110"/>
      <c r="I48" s="193"/>
    </row>
    <row r="49" spans="2:9" ht="16.5">
      <c r="B49" s="532" t="s">
        <v>119</v>
      </c>
      <c r="C49" s="530" t="s">
        <v>321</v>
      </c>
      <c r="D49" s="529" t="s">
        <v>456</v>
      </c>
      <c r="H49" s="110"/>
      <c r="I49" s="193"/>
    </row>
    <row r="50" spans="1:9" ht="16.5">
      <c r="A50" s="511" t="s">
        <v>450</v>
      </c>
      <c r="B50" s="534" t="e">
        <f>#REF!</f>
        <v>#REF!</v>
      </c>
      <c r="C50" s="568">
        <v>100</v>
      </c>
      <c r="D50" s="532" t="e">
        <f>B4-B50</f>
        <v>#REF!</v>
      </c>
      <c r="H50" s="110"/>
      <c r="I50" s="193"/>
    </row>
    <row r="51" spans="1:8" ht="16.5">
      <c r="A51" s="513" t="s">
        <v>63</v>
      </c>
      <c r="B51" s="533" t="e">
        <f>#REF!</f>
        <v>#REF!</v>
      </c>
      <c r="C51" s="530" t="e">
        <f>B51/B50%</f>
        <v>#REF!</v>
      </c>
      <c r="H51" s="193"/>
    </row>
    <row r="52" spans="1:3" ht="16.5">
      <c r="A52" s="513" t="s">
        <v>94</v>
      </c>
      <c r="B52" s="533" t="e">
        <f>#REF!</f>
        <v>#REF!</v>
      </c>
      <c r="C52" s="530" t="e">
        <f>B52/B50%</f>
        <v>#REF!</v>
      </c>
    </row>
    <row r="53" ht="16.5">
      <c r="A53" s="513"/>
    </row>
    <row r="54" spans="1:6" ht="16.5">
      <c r="A54" s="536" t="s">
        <v>63</v>
      </c>
      <c r="B54" s="537" t="e">
        <f>B51</f>
        <v>#REF!</v>
      </c>
      <c r="C54" s="538">
        <v>100</v>
      </c>
      <c r="D54" s="562" t="s">
        <v>119</v>
      </c>
      <c r="E54" s="538" t="s">
        <v>321</v>
      </c>
      <c r="F54" s="545"/>
    </row>
    <row r="55" spans="1:6" ht="16.5">
      <c r="A55" s="549" t="s">
        <v>53</v>
      </c>
      <c r="B55" s="550"/>
      <c r="C55" s="547"/>
      <c r="D55" s="551" t="e">
        <f>#REF!+#REF!</f>
        <v>#REF!</v>
      </c>
      <c r="E55" s="552" t="e">
        <f>D55/39153244%</f>
        <v>#REF!</v>
      </c>
      <c r="F55" s="545"/>
    </row>
    <row r="56" spans="1:6" ht="16.5">
      <c r="A56" s="553" t="s">
        <v>115</v>
      </c>
      <c r="B56" s="550"/>
      <c r="C56" s="547"/>
      <c r="D56" s="551" t="e">
        <f>#REF!</f>
        <v>#REF!</v>
      </c>
      <c r="E56" s="552" t="e">
        <f aca="true" t="shared" si="0" ref="E56:E65">D56/39153244%</f>
        <v>#REF!</v>
      </c>
      <c r="F56" s="545"/>
    </row>
    <row r="57" spans="1:6" ht="16.5">
      <c r="A57" s="553" t="s">
        <v>51</v>
      </c>
      <c r="B57" s="550"/>
      <c r="C57" s="547"/>
      <c r="D57" s="551" t="e">
        <f>#REF!</f>
        <v>#REF!</v>
      </c>
      <c r="E57" s="552" t="e">
        <f t="shared" si="0"/>
        <v>#REF!</v>
      </c>
      <c r="F57" s="545"/>
    </row>
    <row r="58" spans="1:6" ht="16.5">
      <c r="A58" s="549" t="s">
        <v>595</v>
      </c>
      <c r="B58" s="554"/>
      <c r="C58" s="547"/>
      <c r="D58" s="551" t="e">
        <f>#REF!+#REF!</f>
        <v>#REF!</v>
      </c>
      <c r="E58" s="552" t="e">
        <f t="shared" si="0"/>
        <v>#REF!</v>
      </c>
      <c r="F58" s="545"/>
    </row>
    <row r="59" spans="1:6" ht="16.5">
      <c r="A59" s="545" t="s">
        <v>55</v>
      </c>
      <c r="B59" s="554"/>
      <c r="C59" s="547"/>
      <c r="D59" s="551" t="e">
        <f>#REF!</f>
        <v>#REF!</v>
      </c>
      <c r="E59" s="552" t="e">
        <f t="shared" si="0"/>
        <v>#REF!</v>
      </c>
      <c r="F59" s="545"/>
    </row>
    <row r="60" spans="1:6" ht="16.5">
      <c r="A60" s="553" t="s">
        <v>79</v>
      </c>
      <c r="B60" s="550"/>
      <c r="C60" s="547"/>
      <c r="D60" s="551" t="e">
        <f>#REF!</f>
        <v>#REF!</v>
      </c>
      <c r="E60" s="552" t="e">
        <f t="shared" si="0"/>
        <v>#REF!</v>
      </c>
      <c r="F60" s="545"/>
    </row>
    <row r="61" spans="1:6" ht="16.5">
      <c r="A61" s="555" t="s">
        <v>49</v>
      </c>
      <c r="B61" s="550"/>
      <c r="C61" s="547"/>
      <c r="D61" s="551" t="e">
        <f>#REF!</f>
        <v>#REF!</v>
      </c>
      <c r="E61" s="552" t="e">
        <f t="shared" si="0"/>
        <v>#REF!</v>
      </c>
      <c r="F61" s="545"/>
    </row>
    <row r="62" spans="1:6" ht="16.5">
      <c r="A62" s="555" t="s">
        <v>50</v>
      </c>
      <c r="B62" s="550"/>
      <c r="C62" s="547"/>
      <c r="D62" s="551" t="e">
        <f>#REF!</f>
        <v>#REF!</v>
      </c>
      <c r="E62" s="552" t="e">
        <f t="shared" si="0"/>
        <v>#REF!</v>
      </c>
      <c r="F62" s="545"/>
    </row>
    <row r="63" spans="1:6" ht="16.5">
      <c r="A63" s="555" t="s">
        <v>48</v>
      </c>
      <c r="B63" s="550"/>
      <c r="C63" s="547"/>
      <c r="D63" s="551" t="e">
        <f>#REF!</f>
        <v>#REF!</v>
      </c>
      <c r="E63" s="552" t="e">
        <f t="shared" si="0"/>
        <v>#REF!</v>
      </c>
      <c r="F63" s="545"/>
    </row>
    <row r="64" spans="1:6" ht="16.5">
      <c r="A64" s="545" t="s">
        <v>100</v>
      </c>
      <c r="B64" s="554"/>
      <c r="C64" s="547"/>
      <c r="D64" s="551" t="e">
        <f>#REF!</f>
        <v>#REF!</v>
      </c>
      <c r="E64" s="552" t="e">
        <f t="shared" si="0"/>
        <v>#REF!</v>
      </c>
      <c r="F64" s="545"/>
    </row>
    <row r="65" spans="1:6" ht="16.5">
      <c r="A65" s="556" t="s">
        <v>582</v>
      </c>
      <c r="B65" s="556"/>
      <c r="C65" s="556"/>
      <c r="D65" s="557" t="e">
        <f>B54-SUM(D55:D64)</f>
        <v>#REF!</v>
      </c>
      <c r="E65" s="552" t="e">
        <f t="shared" si="0"/>
        <v>#REF!</v>
      </c>
      <c r="F65" s="545"/>
    </row>
    <row r="66" spans="1:6" ht="16.5">
      <c r="A66" s="545"/>
      <c r="B66" s="562" t="s">
        <v>119</v>
      </c>
      <c r="C66" s="538" t="s">
        <v>321</v>
      </c>
      <c r="D66" s="558"/>
      <c r="E66" s="545"/>
      <c r="F66" s="545"/>
    </row>
    <row r="67" spans="1:6" ht="16.5">
      <c r="A67" s="539" t="str">
        <f>A55</f>
        <v>Oświata i wychowanie</v>
      </c>
      <c r="B67" s="540" t="e">
        <f>SUM(B68:B78)</f>
        <v>#REF!</v>
      </c>
      <c r="C67" s="568">
        <v>100</v>
      </c>
      <c r="D67" s="565"/>
      <c r="E67" s="539"/>
      <c r="F67" s="545"/>
    </row>
    <row r="68" spans="1:6" ht="16.5">
      <c r="A68" s="545" t="s">
        <v>81</v>
      </c>
      <c r="B68" s="564" t="e">
        <f>#REF!</f>
        <v>#REF!</v>
      </c>
      <c r="C68" s="530" t="e">
        <f aca="true" t="shared" si="1" ref="C68:C77">B68/18915120%</f>
        <v>#REF!</v>
      </c>
      <c r="D68" s="558"/>
      <c r="E68" s="545"/>
      <c r="F68" s="545"/>
    </row>
    <row r="69" spans="1:6" ht="16.5">
      <c r="A69" s="545" t="s">
        <v>82</v>
      </c>
      <c r="B69" s="564" t="e">
        <f>#REF!</f>
        <v>#REF!</v>
      </c>
      <c r="C69" s="530" t="e">
        <f t="shared" si="1"/>
        <v>#REF!</v>
      </c>
      <c r="D69" s="558"/>
      <c r="E69" s="545"/>
      <c r="F69" s="545"/>
    </row>
    <row r="70" spans="1:6" ht="16.5">
      <c r="A70" s="545" t="s">
        <v>596</v>
      </c>
      <c r="B70" s="564" t="e">
        <f>#REF!</f>
        <v>#REF!</v>
      </c>
      <c r="C70" s="530" t="e">
        <f t="shared" si="1"/>
        <v>#REF!</v>
      </c>
      <c r="D70" s="558"/>
      <c r="E70" s="545"/>
      <c r="F70" s="545"/>
    </row>
    <row r="71" spans="1:6" ht="16.5">
      <c r="A71" s="545" t="s">
        <v>224</v>
      </c>
      <c r="B71" s="564" t="e">
        <f>#REF!</f>
        <v>#REF!</v>
      </c>
      <c r="C71" s="530" t="e">
        <f t="shared" si="1"/>
        <v>#REF!</v>
      </c>
      <c r="D71" s="558"/>
      <c r="E71" s="545"/>
      <c r="F71" s="545"/>
    </row>
    <row r="72" spans="1:6" ht="16.5">
      <c r="A72" s="545" t="s">
        <v>597</v>
      </c>
      <c r="B72" s="564" t="e">
        <f>#REF!</f>
        <v>#REF!</v>
      </c>
      <c r="C72" s="530" t="e">
        <f t="shared" si="1"/>
        <v>#REF!</v>
      </c>
      <c r="D72" s="558"/>
      <c r="E72" s="545"/>
      <c r="F72" s="545"/>
    </row>
    <row r="73" spans="1:6" ht="16.5">
      <c r="A73" s="545" t="s">
        <v>403</v>
      </c>
      <c r="B73" s="564" t="e">
        <f>#REF!</f>
        <v>#REF!</v>
      </c>
      <c r="C73" s="530" t="e">
        <f t="shared" si="1"/>
        <v>#REF!</v>
      </c>
      <c r="D73" s="558"/>
      <c r="E73" s="545"/>
      <c r="F73" s="545"/>
    </row>
    <row r="74" spans="1:6" ht="16.5">
      <c r="A74" s="545" t="s">
        <v>83</v>
      </c>
      <c r="B74" s="564" t="e">
        <f>#REF!</f>
        <v>#REF!</v>
      </c>
      <c r="C74" s="530" t="e">
        <f t="shared" si="1"/>
        <v>#REF!</v>
      </c>
      <c r="D74" s="558"/>
      <c r="E74" s="545"/>
      <c r="F74" s="545"/>
    </row>
    <row r="75" spans="1:6" ht="16.5">
      <c r="A75" s="555" t="s">
        <v>92</v>
      </c>
      <c r="B75" s="552" t="e">
        <f>#REF!</f>
        <v>#REF!</v>
      </c>
      <c r="C75" s="530" t="e">
        <f t="shared" si="1"/>
        <v>#REF!</v>
      </c>
      <c r="D75" s="558"/>
      <c r="E75" s="545"/>
      <c r="F75" s="545"/>
    </row>
    <row r="76" spans="1:6" ht="16.5">
      <c r="A76" s="545" t="s">
        <v>109</v>
      </c>
      <c r="B76" s="552" t="e">
        <f>#REF!+#REF!</f>
        <v>#REF!</v>
      </c>
      <c r="C76" s="530" t="e">
        <f t="shared" si="1"/>
        <v>#REF!</v>
      </c>
      <c r="D76" s="558"/>
      <c r="E76" s="545"/>
      <c r="F76" s="545"/>
    </row>
    <row r="77" spans="1:6" ht="16.5">
      <c r="A77" s="555" t="s">
        <v>274</v>
      </c>
      <c r="B77" s="552" t="e">
        <f>#REF!</f>
        <v>#REF!</v>
      </c>
      <c r="C77" s="530" t="e">
        <f t="shared" si="1"/>
        <v>#REF!</v>
      </c>
      <c r="D77" s="558"/>
      <c r="E77" s="545"/>
      <c r="F77" s="545"/>
    </row>
    <row r="78" spans="1:6" ht="16.5">
      <c r="A78" s="555"/>
      <c r="B78" s="555"/>
      <c r="C78" s="547"/>
      <c r="D78" s="558"/>
      <c r="E78" s="545"/>
      <c r="F78" s="545"/>
    </row>
    <row r="79" spans="1:6" ht="16.5">
      <c r="A79" s="555"/>
      <c r="B79" s="562" t="s">
        <v>119</v>
      </c>
      <c r="C79" s="538" t="s">
        <v>321</v>
      </c>
      <c r="D79" s="558"/>
      <c r="E79" s="545"/>
      <c r="F79" s="545"/>
    </row>
    <row r="80" spans="1:6" s="64" customFormat="1" ht="16.5">
      <c r="A80" s="561" t="str">
        <f>A67</f>
        <v>Oświata i wychowanie</v>
      </c>
      <c r="B80" s="563" t="e">
        <f>B67+B82</f>
        <v>#REF!</v>
      </c>
      <c r="C80" s="563" t="e">
        <f>B80/B50%</f>
        <v>#REF!</v>
      </c>
      <c r="D80" s="541" t="s">
        <v>598</v>
      </c>
      <c r="E80" s="512"/>
      <c r="F80" s="512"/>
    </row>
    <row r="81" spans="1:6" s="64" customFormat="1" ht="16.5">
      <c r="A81" s="559" t="s">
        <v>63</v>
      </c>
      <c r="B81" s="567" t="e">
        <f>B67</f>
        <v>#REF!</v>
      </c>
      <c r="D81" s="531"/>
      <c r="E81" s="512"/>
      <c r="F81" s="512"/>
    </row>
    <row r="82" spans="1:6" s="64" customFormat="1" ht="16.5">
      <c r="A82" s="559" t="s">
        <v>94</v>
      </c>
      <c r="B82" s="557" t="e">
        <f>D91</f>
        <v>#REF!</v>
      </c>
      <c r="E82" s="512"/>
      <c r="F82" s="512"/>
    </row>
    <row r="83" spans="5:6" s="64" customFormat="1" ht="16.5">
      <c r="E83" s="512"/>
      <c r="F83" s="512"/>
    </row>
    <row r="84" spans="1:6" ht="16.5">
      <c r="A84" s="7"/>
      <c r="B84" s="7"/>
      <c r="C84" s="7"/>
      <c r="D84" s="7"/>
      <c r="E84" s="7"/>
      <c r="F84" s="545"/>
    </row>
    <row r="85" spans="1:6" ht="16.5">
      <c r="A85" s="560" t="str">
        <f>A52</f>
        <v>Wydatki majątkowe</v>
      </c>
      <c r="B85" s="563" t="e">
        <f>SUM(D86:D92)</f>
        <v>#REF!</v>
      </c>
      <c r="C85" s="561"/>
      <c r="D85" s="562" t="s">
        <v>119</v>
      </c>
      <c r="E85" s="538" t="s">
        <v>321</v>
      </c>
      <c r="F85" s="545"/>
    </row>
    <row r="86" spans="1:6" ht="16.5">
      <c r="A86" s="556" t="s">
        <v>599</v>
      </c>
      <c r="B86" s="556"/>
      <c r="C86" s="556"/>
      <c r="D86" s="557" t="e">
        <f>#REF!</f>
        <v>#REF!</v>
      </c>
      <c r="E86" s="552" t="e">
        <f aca="true" t="shared" si="2" ref="E86:E94">D86/21751097%</f>
        <v>#REF!</v>
      </c>
      <c r="F86" s="545"/>
    </row>
    <row r="87" spans="1:6" ht="16.5">
      <c r="A87" s="545" t="s">
        <v>600</v>
      </c>
      <c r="B87" s="554"/>
      <c r="C87" s="547"/>
      <c r="D87" s="551" t="e">
        <f>#REF!</f>
        <v>#REF!</v>
      </c>
      <c r="E87" s="552" t="e">
        <f t="shared" si="2"/>
        <v>#REF!</v>
      </c>
      <c r="F87" s="545"/>
    </row>
    <row r="88" spans="1:6" ht="16.5">
      <c r="A88" s="556" t="s">
        <v>601</v>
      </c>
      <c r="B88" s="556"/>
      <c r="C88" s="556"/>
      <c r="D88" s="557" t="e">
        <f>#REF!</f>
        <v>#REF!</v>
      </c>
      <c r="E88" s="552" t="e">
        <f t="shared" si="2"/>
        <v>#REF!</v>
      </c>
      <c r="F88" s="545"/>
    </row>
    <row r="89" spans="1:6" ht="16.5">
      <c r="A89" s="556" t="s">
        <v>48</v>
      </c>
      <c r="B89" s="556"/>
      <c r="C89" s="556"/>
      <c r="D89" s="557" t="e">
        <f>#REF!</f>
        <v>#REF!</v>
      </c>
      <c r="E89" s="552" t="e">
        <f t="shared" si="2"/>
        <v>#REF!</v>
      </c>
      <c r="F89" s="545"/>
    </row>
    <row r="90" spans="1:6" ht="16.5">
      <c r="A90" s="556" t="s">
        <v>602</v>
      </c>
      <c r="B90" s="556"/>
      <c r="C90" s="556"/>
      <c r="D90" s="557" t="e">
        <f>#REF!</f>
        <v>#REF!</v>
      </c>
      <c r="E90" s="552" t="e">
        <f t="shared" si="2"/>
        <v>#REF!</v>
      </c>
      <c r="F90" s="545"/>
    </row>
    <row r="91" spans="1:5" ht="16.5">
      <c r="A91" s="556" t="s">
        <v>603</v>
      </c>
      <c r="B91" s="556"/>
      <c r="C91" s="556"/>
      <c r="D91" s="557" t="e">
        <f>#REF!</f>
        <v>#REF!</v>
      </c>
      <c r="E91" s="552" t="e">
        <f t="shared" si="2"/>
        <v>#REF!</v>
      </c>
    </row>
    <row r="92" spans="1:5" ht="16.5">
      <c r="A92" s="556" t="s">
        <v>50</v>
      </c>
      <c r="B92" s="556"/>
      <c r="C92" s="556"/>
      <c r="D92" s="557" t="e">
        <f>#REF!</f>
        <v>#REF!</v>
      </c>
      <c r="E92" s="552" t="e">
        <f t="shared" si="2"/>
        <v>#REF!</v>
      </c>
    </row>
    <row r="93" spans="1:5" ht="16.5">
      <c r="A93" s="556" t="s">
        <v>51</v>
      </c>
      <c r="B93" s="556"/>
      <c r="C93" s="556"/>
      <c r="D93" s="557" t="e">
        <f>#REF!</f>
        <v>#REF!</v>
      </c>
      <c r="E93" s="552" t="e">
        <f t="shared" si="2"/>
        <v>#REF!</v>
      </c>
    </row>
    <row r="94" spans="1:5" ht="16.5">
      <c r="A94" s="556" t="s">
        <v>493</v>
      </c>
      <c r="B94" s="556"/>
      <c r="C94" s="556"/>
      <c r="D94" s="557" t="e">
        <f>#REF!</f>
        <v>#REF!</v>
      </c>
      <c r="E94" s="552" t="e">
        <f t="shared" si="2"/>
        <v>#REF!</v>
      </c>
    </row>
    <row r="95" spans="1:5" ht="16.5">
      <c r="A95" s="7"/>
      <c r="B95" s="7"/>
      <c r="C95" s="7"/>
      <c r="D95" s="7"/>
      <c r="E95" s="7"/>
    </row>
    <row r="96" spans="1:5" ht="16.5">
      <c r="A96" s="560" t="str">
        <f>A85</f>
        <v>Wydatki majątkowe</v>
      </c>
      <c r="B96" s="562" t="s">
        <v>119</v>
      </c>
      <c r="C96" s="538" t="s">
        <v>321</v>
      </c>
      <c r="D96" s="561"/>
      <c r="E96" s="542"/>
    </row>
    <row r="97" spans="1:5" ht="16.5">
      <c r="A97" s="64" t="s">
        <v>554</v>
      </c>
      <c r="B97" s="64"/>
      <c r="C97" s="64"/>
      <c r="D97" s="64"/>
      <c r="E97" s="7"/>
    </row>
    <row r="98" spans="1:5" ht="16.5">
      <c r="A98" s="64" t="s">
        <v>555</v>
      </c>
      <c r="B98" s="64"/>
      <c r="C98" s="64"/>
      <c r="D98" s="64"/>
      <c r="E98" s="7"/>
    </row>
    <row r="99" spans="1:5" ht="16.5">
      <c r="A99" s="7"/>
      <c r="B99" s="7"/>
      <c r="C99" s="7"/>
      <c r="D99" s="7"/>
      <c r="E99" s="7"/>
    </row>
    <row r="100" spans="1:5" ht="16.5">
      <c r="A100" s="64" t="s">
        <v>604</v>
      </c>
      <c r="B100" s="64"/>
      <c r="C100" s="64"/>
      <c r="D100" s="64"/>
      <c r="E100" s="64"/>
    </row>
    <row r="101" spans="1:5" ht="16.5">
      <c r="A101" s="64" t="s">
        <v>605</v>
      </c>
      <c r="B101" s="566">
        <f>' Prognoza długu'!C7</f>
        <v>6790047.27</v>
      </c>
      <c r="C101" s="64"/>
      <c r="D101" s="64"/>
      <c r="E101" s="64"/>
    </row>
    <row r="102" spans="1:2" ht="16.5">
      <c r="A102" s="512" t="s">
        <v>606</v>
      </c>
      <c r="B102" s="535"/>
    </row>
    <row r="103" spans="2:4" ht="16.5">
      <c r="B103" s="569" t="s">
        <v>304</v>
      </c>
      <c r="C103" s="547"/>
      <c r="D103" s="546" t="e">
        <f>-D50</f>
        <v>#REF!</v>
      </c>
    </row>
    <row r="104" spans="2:4" ht="16.5">
      <c r="B104" s="570" t="s">
        <v>338</v>
      </c>
      <c r="C104" s="547"/>
      <c r="D104" s="546" t="e">
        <f>#REF!</f>
        <v>#REF!</v>
      </c>
    </row>
    <row r="105" spans="2:4" ht="16.5">
      <c r="B105" s="571" t="s">
        <v>56</v>
      </c>
      <c r="C105" s="538"/>
      <c r="D105" s="544" t="e">
        <f>SUM(D103:D104)</f>
        <v>#REF!</v>
      </c>
    </row>
    <row r="107" spans="2:4" ht="16.5">
      <c r="B107" s="570" t="s">
        <v>607</v>
      </c>
      <c r="D107" s="548" t="e">
        <f>#REF!</f>
        <v>#REF!</v>
      </c>
    </row>
    <row r="109" spans="1:2" ht="16.5">
      <c r="A109" s="512" t="s">
        <v>608</v>
      </c>
      <c r="B109" s="533" t="e">
        <f>B101+D107-D104</f>
        <v>#REF!</v>
      </c>
    </row>
    <row r="110" spans="1:2" ht="16.5">
      <c r="A110" s="512" t="s">
        <v>609</v>
      </c>
      <c r="B110" s="533" t="e">
        <f>B109/B4%</f>
        <v>#REF!</v>
      </c>
    </row>
  </sheetData>
  <mergeCells count="2">
    <mergeCell ref="D11:D12"/>
    <mergeCell ref="E11:E12"/>
  </mergeCells>
  <printOptions/>
  <pageMargins left="0.75" right="0.75" top="0.33" bottom="0.23" header="0.19" footer="0.18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K37"/>
  <sheetViews>
    <sheetView zoomScale="110" zoomScaleNormal="110" workbookViewId="0" topLeftCell="A5">
      <selection activeCell="D13" sqref="D13"/>
    </sheetView>
  </sheetViews>
  <sheetFormatPr defaultColWidth="9.00390625" defaultRowHeight="12.75"/>
  <cols>
    <col min="1" max="1" width="5.625" style="86" customWidth="1"/>
    <col min="2" max="2" width="30.375" style="202" customWidth="1"/>
    <col min="3" max="10" width="12.375" style="7" customWidth="1"/>
    <col min="11" max="11" width="10.25390625" style="7" customWidth="1"/>
    <col min="12" max="16384" width="9.125" style="7" customWidth="1"/>
  </cols>
  <sheetData>
    <row r="1" spans="4:7" ht="13.5">
      <c r="D1" s="598"/>
      <c r="E1" s="598"/>
      <c r="F1" s="598"/>
      <c r="G1" s="598"/>
    </row>
    <row r="2" spans="1:6" ht="15.75">
      <c r="A2" s="599" t="s">
        <v>551</v>
      </c>
      <c r="B2" s="599"/>
      <c r="C2" s="599"/>
      <c r="D2" s="599"/>
      <c r="E2" s="599"/>
      <c r="F2" s="599"/>
    </row>
    <row r="3" spans="1:10" ht="12.75">
      <c r="A3" s="606"/>
      <c r="B3" s="606"/>
      <c r="C3" s="606"/>
      <c r="D3" s="606"/>
      <c r="E3" s="606"/>
      <c r="F3" s="606"/>
      <c r="G3" s="606"/>
      <c r="H3" s="606"/>
      <c r="I3" s="606"/>
      <c r="J3" s="606"/>
    </row>
    <row r="4" spans="1:10" ht="12.75">
      <c r="A4" s="600" t="s">
        <v>44</v>
      </c>
      <c r="B4" s="601" t="s">
        <v>110</v>
      </c>
      <c r="C4" s="602" t="s">
        <v>10</v>
      </c>
      <c r="D4" s="604"/>
      <c r="E4" s="604"/>
      <c r="F4" s="604"/>
      <c r="G4" s="604"/>
      <c r="H4" s="604"/>
      <c r="I4" s="604"/>
      <c r="J4" s="605"/>
    </row>
    <row r="5" spans="1:10" ht="27" customHeight="1">
      <c r="A5" s="600"/>
      <c r="B5" s="601"/>
      <c r="C5" s="603"/>
      <c r="D5" s="201">
        <v>2010</v>
      </c>
      <c r="E5" s="201">
        <v>2011</v>
      </c>
      <c r="F5" s="201">
        <v>2012</v>
      </c>
      <c r="G5" s="201">
        <v>2013</v>
      </c>
      <c r="H5" s="201">
        <v>2014</v>
      </c>
      <c r="I5" s="201">
        <v>2015</v>
      </c>
      <c r="J5" s="201">
        <v>2016</v>
      </c>
    </row>
    <row r="6" spans="1:10" s="200" customFormat="1" ht="12.75">
      <c r="A6" s="199">
        <v>1</v>
      </c>
      <c r="B6" s="199">
        <v>2</v>
      </c>
      <c r="C6" s="199">
        <v>3</v>
      </c>
      <c r="D6" s="199">
        <v>7</v>
      </c>
      <c r="E6" s="199">
        <v>8</v>
      </c>
      <c r="F6" s="199">
        <v>9</v>
      </c>
      <c r="G6" s="199">
        <v>10</v>
      </c>
      <c r="H6" s="199">
        <v>11</v>
      </c>
      <c r="I6" s="199">
        <v>12</v>
      </c>
      <c r="J6" s="199">
        <v>13</v>
      </c>
    </row>
    <row r="7" spans="1:10" s="483" customFormat="1" ht="12.75" customHeight="1">
      <c r="A7" s="189" t="s">
        <v>123</v>
      </c>
      <c r="B7" s="481" t="s">
        <v>33</v>
      </c>
      <c r="C7" s="482">
        <f>C8+C9</f>
        <v>6790047.27</v>
      </c>
      <c r="D7" s="482">
        <f>D8+D9</f>
        <v>19869953.75</v>
      </c>
      <c r="E7" s="482">
        <f aca="true" t="shared" si="0" ref="E7:J7">E8+E9</f>
        <v>18130047.27</v>
      </c>
      <c r="F7" s="482">
        <f t="shared" si="0"/>
        <v>14139840.79</v>
      </c>
      <c r="G7" s="482">
        <f t="shared" si="0"/>
        <v>9973143.45</v>
      </c>
      <c r="H7" s="482">
        <f t="shared" si="0"/>
        <v>7266736.97</v>
      </c>
      <c r="I7" s="482">
        <f t="shared" si="0"/>
        <v>4560330.49</v>
      </c>
      <c r="J7" s="482">
        <f t="shared" si="0"/>
        <v>1892767.53</v>
      </c>
    </row>
    <row r="8" spans="1:10" s="486" customFormat="1" ht="12.75" customHeight="1">
      <c r="A8" s="190" t="s">
        <v>295</v>
      </c>
      <c r="B8" s="484" t="s">
        <v>43</v>
      </c>
      <c r="C8" s="485">
        <f>'Wykaz kredytów i pożyczek'!B3+'Wykaz kredytów i pożyczek'!B5+'Wykaz kredytów i pożyczek'!B7+'Wykaz kredytów i pożyczek'!B9+'Wykaz kredytów i pożyczek'!B11+'Wykaz kredytów i pożyczek'!B13+'Wykaz kredytów i pożyczek'!B15</f>
        <v>6790047.27</v>
      </c>
      <c r="D8" s="485">
        <f>C8</f>
        <v>6790047.27</v>
      </c>
      <c r="E8" s="485">
        <f aca="true" t="shared" si="1" ref="E8:J8">D7-D11</f>
        <v>18130047.27</v>
      </c>
      <c r="F8" s="485">
        <f t="shared" si="1"/>
        <v>14139840.79</v>
      </c>
      <c r="G8" s="485">
        <f t="shared" si="1"/>
        <v>9973143.45</v>
      </c>
      <c r="H8" s="485">
        <f t="shared" si="1"/>
        <v>7266736.97</v>
      </c>
      <c r="I8" s="485">
        <f t="shared" si="1"/>
        <v>4560330.49</v>
      </c>
      <c r="J8" s="485">
        <f t="shared" si="1"/>
        <v>1892767.53</v>
      </c>
    </row>
    <row r="9" spans="1:10" s="486" customFormat="1" ht="12.75" customHeight="1">
      <c r="A9" s="190" t="s">
        <v>296</v>
      </c>
      <c r="B9" s="484" t="s">
        <v>34</v>
      </c>
      <c r="C9" s="485"/>
      <c r="D9" s="485">
        <f>'Wykaz kredytów i pożyczek'!B17+'Wykaz kredytów i pożyczek'!B21+'Wykaz kredytów i pożyczek'!B23</f>
        <v>13079906.48</v>
      </c>
      <c r="E9" s="485"/>
      <c r="F9" s="485"/>
      <c r="G9" s="485"/>
      <c r="H9" s="485"/>
      <c r="I9" s="485"/>
      <c r="J9" s="485"/>
    </row>
    <row r="10" spans="1:10" s="483" customFormat="1" ht="12.75" customHeight="1">
      <c r="A10" s="189">
        <v>2</v>
      </c>
      <c r="B10" s="481" t="s">
        <v>35</v>
      </c>
      <c r="C10" s="482">
        <f>C11+C12</f>
        <v>0</v>
      </c>
      <c r="D10" s="482">
        <f>D11+D12</f>
        <v>2389906.48</v>
      </c>
      <c r="E10" s="482">
        <f aca="true" t="shared" si="2" ref="E10:J10">E11+E12</f>
        <v>4506206.48</v>
      </c>
      <c r="F10" s="482">
        <f t="shared" si="2"/>
        <v>4550697.34</v>
      </c>
      <c r="G10" s="482">
        <f t="shared" si="2"/>
        <v>2969406.48</v>
      </c>
      <c r="H10" s="482">
        <f t="shared" si="2"/>
        <v>2907406.48</v>
      </c>
      <c r="I10" s="482">
        <f t="shared" si="2"/>
        <v>2821562.96</v>
      </c>
      <c r="J10" s="482">
        <f t="shared" si="2"/>
        <v>2008767.53</v>
      </c>
    </row>
    <row r="11" spans="1:10" s="486" customFormat="1" ht="12.75" customHeight="1">
      <c r="A11" s="190" t="s">
        <v>297</v>
      </c>
      <c r="B11" s="487" t="s">
        <v>7</v>
      </c>
      <c r="C11" s="488"/>
      <c r="D11" s="488">
        <f>'Wykaz kredytów i pożyczek'!D25</f>
        <v>1739906.48</v>
      </c>
      <c r="E11" s="488">
        <f>'Wykaz kredytów i pożyczek'!E25</f>
        <v>3990206.48</v>
      </c>
      <c r="F11" s="488">
        <f>'Wykaz kredytów i pożyczek'!F25</f>
        <v>4166697.34</v>
      </c>
      <c r="G11" s="488">
        <f>'Wykaz kredytów i pożyczek'!G25</f>
        <v>2706406.48</v>
      </c>
      <c r="H11" s="488">
        <f>'Wykaz kredytów i pożyczek'!H25</f>
        <v>2706406.48</v>
      </c>
      <c r="I11" s="488">
        <f>'Wykaz kredytów i pożyczek'!I25</f>
        <v>2667562.96</v>
      </c>
      <c r="J11" s="488">
        <f>'Wykaz kredytów i pożyczek'!J25</f>
        <v>1892767.53</v>
      </c>
    </row>
    <row r="12" spans="1:11" s="486" customFormat="1" ht="12.75" customHeight="1">
      <c r="A12" s="190" t="s">
        <v>298</v>
      </c>
      <c r="B12" s="487" t="s">
        <v>8</v>
      </c>
      <c r="C12" s="485"/>
      <c r="D12" s="489">
        <f>'Wykaz kredytów i pożyczek'!D26</f>
        <v>650000</v>
      </c>
      <c r="E12" s="489">
        <f>'Wykaz kredytów i pożyczek'!E26</f>
        <v>516000</v>
      </c>
      <c r="F12" s="489">
        <f>'Wykaz kredytów i pożyczek'!F26</f>
        <v>384000</v>
      </c>
      <c r="G12" s="489">
        <f>'Wykaz kredytów i pożyczek'!G26</f>
        <v>263000</v>
      </c>
      <c r="H12" s="489">
        <f>'Wykaz kredytów i pożyczek'!H26</f>
        <v>201000</v>
      </c>
      <c r="I12" s="489">
        <f>'Wykaz kredytów i pożyczek'!I26</f>
        <v>154000</v>
      </c>
      <c r="J12" s="489">
        <f>'Wykaz kredytów i pożyczek'!J26</f>
        <v>116000</v>
      </c>
      <c r="K12" s="490"/>
    </row>
    <row r="13" spans="1:11" s="483" customFormat="1" ht="12.75" customHeight="1">
      <c r="A13" s="491">
        <v>3</v>
      </c>
      <c r="B13" s="492" t="s">
        <v>38</v>
      </c>
      <c r="C13" s="493"/>
      <c r="D13" s="493">
        <f>D7-D11</f>
        <v>18130047.27</v>
      </c>
      <c r="E13" s="493">
        <f aca="true" t="shared" si="3" ref="E13:J13">D13-E11</f>
        <v>14139840.79</v>
      </c>
      <c r="F13" s="493">
        <f t="shared" si="3"/>
        <v>9973143.45</v>
      </c>
      <c r="G13" s="493">
        <f t="shared" si="3"/>
        <v>7266736.97</v>
      </c>
      <c r="H13" s="493">
        <f t="shared" si="3"/>
        <v>4560330.49</v>
      </c>
      <c r="I13" s="493">
        <f t="shared" si="3"/>
        <v>1892767.53</v>
      </c>
      <c r="J13" s="493">
        <f t="shared" si="3"/>
        <v>0</v>
      </c>
      <c r="K13" s="490"/>
    </row>
    <row r="14" spans="1:11" s="483" customFormat="1" ht="12.75" customHeight="1">
      <c r="A14" s="189">
        <v>4</v>
      </c>
      <c r="B14" s="494" t="s">
        <v>2</v>
      </c>
      <c r="C14" s="493"/>
      <c r="D14" s="495" t="e">
        <f>#REF!</f>
        <v>#REF!</v>
      </c>
      <c r="E14" s="495">
        <f>E17-5000000</f>
        <v>54605882</v>
      </c>
      <c r="F14" s="495">
        <f>F17-500000</f>
        <v>45300000</v>
      </c>
      <c r="G14" s="495">
        <f>G17-500000</f>
        <v>46200000</v>
      </c>
      <c r="H14" s="495">
        <f>H17-500000</f>
        <v>47100000</v>
      </c>
      <c r="I14" s="495">
        <f>I17-500000</f>
        <v>48000000</v>
      </c>
      <c r="J14" s="495">
        <f>J17-500000</f>
        <v>48900000</v>
      </c>
      <c r="K14" s="490"/>
    </row>
    <row r="15" spans="1:11" s="486" customFormat="1" ht="12.75" customHeight="1">
      <c r="A15" s="190" t="s">
        <v>36</v>
      </c>
      <c r="B15" s="487" t="s">
        <v>3</v>
      </c>
      <c r="C15" s="485"/>
      <c r="D15" s="489" t="e">
        <f>#REF!</f>
        <v>#REF!</v>
      </c>
      <c r="E15" s="489">
        <v>40900000</v>
      </c>
      <c r="F15" s="489">
        <f>E15+800000</f>
        <v>41700000</v>
      </c>
      <c r="G15" s="489">
        <f>F15+800000</f>
        <v>42500000</v>
      </c>
      <c r="H15" s="489">
        <f>G15+800000</f>
        <v>43300000</v>
      </c>
      <c r="I15" s="489">
        <f>H15+800000</f>
        <v>44100000</v>
      </c>
      <c r="J15" s="489">
        <f>I15+800000</f>
        <v>44900000</v>
      </c>
      <c r="K15" s="490"/>
    </row>
    <row r="16" spans="1:11" s="486" customFormat="1" ht="12.75" customHeight="1">
      <c r="A16" s="190" t="s">
        <v>37</v>
      </c>
      <c r="B16" s="487" t="s">
        <v>330</v>
      </c>
      <c r="C16" s="485"/>
      <c r="D16" s="489" t="e">
        <f>#REF!+#REF!</f>
        <v>#REF!</v>
      </c>
      <c r="E16" s="489">
        <v>700000</v>
      </c>
      <c r="F16" s="489">
        <v>800000</v>
      </c>
      <c r="G16" s="489">
        <v>900000</v>
      </c>
      <c r="H16" s="489">
        <v>1000000</v>
      </c>
      <c r="I16" s="489">
        <v>1100000</v>
      </c>
      <c r="J16" s="489">
        <v>1200000</v>
      </c>
      <c r="K16" s="490"/>
    </row>
    <row r="17" spans="1:11" s="483" customFormat="1" ht="12.75" customHeight="1">
      <c r="A17" s="189">
        <v>5</v>
      </c>
      <c r="B17" s="494" t="s">
        <v>5</v>
      </c>
      <c r="C17" s="493"/>
      <c r="D17" s="495" t="e">
        <f>D18+D19</f>
        <v>#REF!</v>
      </c>
      <c r="E17" s="495">
        <f aca="true" t="shared" si="4" ref="E17:J17">E18+E19</f>
        <v>59605882</v>
      </c>
      <c r="F17" s="495">
        <f t="shared" si="4"/>
        <v>45800000</v>
      </c>
      <c r="G17" s="495">
        <f t="shared" si="4"/>
        <v>46700000</v>
      </c>
      <c r="H17" s="495">
        <f t="shared" si="4"/>
        <v>47600000</v>
      </c>
      <c r="I17" s="495">
        <f t="shared" si="4"/>
        <v>48500000</v>
      </c>
      <c r="J17" s="495">
        <f t="shared" si="4"/>
        <v>49400000</v>
      </c>
      <c r="K17" s="490"/>
    </row>
    <row r="18" spans="1:11" s="486" customFormat="1" ht="12.75" customHeight="1">
      <c r="A18" s="190" t="s">
        <v>39</v>
      </c>
      <c r="B18" s="487" t="s">
        <v>63</v>
      </c>
      <c r="C18" s="485"/>
      <c r="D18" s="489" t="e">
        <f>#REF!</f>
        <v>#REF!</v>
      </c>
      <c r="E18" s="489">
        <v>39900000</v>
      </c>
      <c r="F18" s="489">
        <f>E18+900000</f>
        <v>40800000</v>
      </c>
      <c r="G18" s="489">
        <f>F18+900000</f>
        <v>41700000</v>
      </c>
      <c r="H18" s="489">
        <f>G18+900000</f>
        <v>42600000</v>
      </c>
      <c r="I18" s="489">
        <f>H18+900000</f>
        <v>43500000</v>
      </c>
      <c r="J18" s="489">
        <f>I18+900000</f>
        <v>44400000</v>
      </c>
      <c r="K18" s="490"/>
    </row>
    <row r="19" spans="1:11" s="486" customFormat="1" ht="12.75" customHeight="1">
      <c r="A19" s="190" t="s">
        <v>40</v>
      </c>
      <c r="B19" s="487" t="s">
        <v>94</v>
      </c>
      <c r="C19" s="485"/>
      <c r="D19" s="489" t="e">
        <f>#REF!</f>
        <v>#REF!</v>
      </c>
      <c r="E19" s="489">
        <v>19705882</v>
      </c>
      <c r="F19" s="489">
        <v>5000000</v>
      </c>
      <c r="G19" s="489">
        <v>5000000</v>
      </c>
      <c r="H19" s="489">
        <v>5000000</v>
      </c>
      <c r="I19" s="489">
        <v>5000000</v>
      </c>
      <c r="J19" s="489">
        <v>5000000</v>
      </c>
      <c r="K19" s="490"/>
    </row>
    <row r="20" spans="1:10" s="483" customFormat="1" ht="12.75" customHeight="1">
      <c r="A20" s="189">
        <v>6</v>
      </c>
      <c r="B20" s="494" t="s">
        <v>9</v>
      </c>
      <c r="C20" s="493"/>
      <c r="D20" s="493" t="e">
        <f>D14-D17</f>
        <v>#REF!</v>
      </c>
      <c r="E20" s="493">
        <f aca="true" t="shared" si="5" ref="E20:J20">E14-E17</f>
        <v>-5000000</v>
      </c>
      <c r="F20" s="493">
        <f t="shared" si="5"/>
        <v>-500000</v>
      </c>
      <c r="G20" s="493">
        <f t="shared" si="5"/>
        <v>-500000</v>
      </c>
      <c r="H20" s="493">
        <f t="shared" si="5"/>
        <v>-500000</v>
      </c>
      <c r="I20" s="493">
        <f t="shared" si="5"/>
        <v>-500000</v>
      </c>
      <c r="J20" s="493">
        <f t="shared" si="5"/>
        <v>-500000</v>
      </c>
    </row>
    <row r="21" spans="1:10" s="486" customFormat="1" ht="12.75" customHeight="1">
      <c r="A21" s="189">
        <v>7</v>
      </c>
      <c r="B21" s="481" t="s">
        <v>299</v>
      </c>
      <c r="C21" s="488"/>
      <c r="D21" s="488"/>
      <c r="E21" s="488"/>
      <c r="F21" s="488"/>
      <c r="G21" s="488"/>
      <c r="H21" s="488"/>
      <c r="I21" s="488"/>
      <c r="J21" s="488"/>
    </row>
    <row r="22" spans="1:10" s="486" customFormat="1" ht="12.75" customHeight="1">
      <c r="A22" s="189" t="s">
        <v>41</v>
      </c>
      <c r="B22" s="496" t="s">
        <v>310</v>
      </c>
      <c r="C22" s="485"/>
      <c r="D22" s="497" t="e">
        <f>D13/D14%</f>
        <v>#REF!</v>
      </c>
      <c r="E22" s="497">
        <f aca="true" t="shared" si="6" ref="E22:J22">E13/E14%</f>
        <v>25.9</v>
      </c>
      <c r="F22" s="497">
        <f t="shared" si="6"/>
        <v>22</v>
      </c>
      <c r="G22" s="497">
        <f t="shared" si="6"/>
        <v>15.7</v>
      </c>
      <c r="H22" s="497">
        <f t="shared" si="6"/>
        <v>9.7</v>
      </c>
      <c r="I22" s="497">
        <f t="shared" si="6"/>
        <v>3.9</v>
      </c>
      <c r="J22" s="497">
        <f t="shared" si="6"/>
        <v>0</v>
      </c>
    </row>
    <row r="23" spans="1:10" s="486" customFormat="1" ht="12.75" customHeight="1">
      <c r="A23" s="189" t="s">
        <v>42</v>
      </c>
      <c r="B23" s="496" t="s">
        <v>311</v>
      </c>
      <c r="C23" s="485"/>
      <c r="D23" s="497" t="e">
        <f aca="true" t="shared" si="7" ref="D23:J23">D10/D14%</f>
        <v>#REF!</v>
      </c>
      <c r="E23" s="497">
        <f t="shared" si="7"/>
        <v>8.3</v>
      </c>
      <c r="F23" s="497">
        <f t="shared" si="7"/>
        <v>10</v>
      </c>
      <c r="G23" s="497">
        <f t="shared" si="7"/>
        <v>6.4</v>
      </c>
      <c r="H23" s="497">
        <f t="shared" si="7"/>
        <v>6.2</v>
      </c>
      <c r="I23" s="497">
        <f t="shared" si="7"/>
        <v>5.9</v>
      </c>
      <c r="J23" s="497">
        <f t="shared" si="7"/>
        <v>4.1</v>
      </c>
    </row>
    <row r="24" spans="1:10" s="483" customFormat="1" ht="12.75" customHeight="1">
      <c r="A24" s="503">
        <v>8</v>
      </c>
      <c r="B24" s="500" t="s">
        <v>553</v>
      </c>
      <c r="C24" s="501"/>
      <c r="D24" s="501">
        <f>D11+D12</f>
        <v>2389906.48</v>
      </c>
      <c r="E24" s="501">
        <f aca="true" t="shared" si="8" ref="E24:J24">E11+E12</f>
        <v>4506206.48</v>
      </c>
      <c r="F24" s="501">
        <f t="shared" si="8"/>
        <v>4550697.34</v>
      </c>
      <c r="G24" s="501">
        <f t="shared" si="8"/>
        <v>2969406.48</v>
      </c>
      <c r="H24" s="501">
        <f t="shared" si="8"/>
        <v>2907406.48</v>
      </c>
      <c r="I24" s="501">
        <f t="shared" si="8"/>
        <v>2821562.96</v>
      </c>
      <c r="J24" s="501">
        <f t="shared" si="8"/>
        <v>2008767.53</v>
      </c>
    </row>
    <row r="25" spans="1:10" s="486" customFormat="1" ht="12.75" customHeight="1">
      <c r="A25" s="503">
        <v>9</v>
      </c>
      <c r="B25" s="500" t="s">
        <v>542</v>
      </c>
      <c r="C25" s="501"/>
      <c r="D25" s="501" t="e">
        <f>D15+D16-D18</f>
        <v>#REF!</v>
      </c>
      <c r="E25" s="501">
        <f aca="true" t="shared" si="9" ref="E25:J25">E15+E16-E18</f>
        <v>1700000</v>
      </c>
      <c r="F25" s="501">
        <f t="shared" si="9"/>
        <v>1700000</v>
      </c>
      <c r="G25" s="501">
        <f t="shared" si="9"/>
        <v>1700000</v>
      </c>
      <c r="H25" s="501">
        <f t="shared" si="9"/>
        <v>1700000</v>
      </c>
      <c r="I25" s="501">
        <f t="shared" si="9"/>
        <v>1700000</v>
      </c>
      <c r="J25" s="501">
        <f t="shared" si="9"/>
        <v>1700000</v>
      </c>
    </row>
    <row r="26" spans="1:10" s="483" customFormat="1" ht="12.75" customHeight="1">
      <c r="A26" s="508">
        <v>10</v>
      </c>
      <c r="B26" s="505" t="s">
        <v>543</v>
      </c>
      <c r="C26" s="506"/>
      <c r="D26" s="506"/>
      <c r="E26" s="506"/>
      <c r="F26" s="506"/>
      <c r="G26" s="507"/>
      <c r="H26" s="507">
        <f>H28-H27</f>
        <v>-0.027</v>
      </c>
      <c r="I26" s="507">
        <f>I28-I27</f>
        <v>-0.022</v>
      </c>
      <c r="J26" s="507">
        <f>J28-J27</f>
        <v>-0.005</v>
      </c>
    </row>
    <row r="27" spans="1:10" s="486" customFormat="1" ht="13.5">
      <c r="A27" s="503" t="s">
        <v>545</v>
      </c>
      <c r="B27" s="499" t="s">
        <v>549</v>
      </c>
      <c r="C27" s="500"/>
      <c r="D27" s="500"/>
      <c r="E27" s="504"/>
      <c r="F27" s="504"/>
      <c r="G27" s="502"/>
      <c r="H27" s="502">
        <f>H24/H14</f>
        <v>0.062</v>
      </c>
      <c r="I27" s="502">
        <f>I24/I14</f>
        <v>0.059</v>
      </c>
      <c r="J27" s="502">
        <f>J24/J14</f>
        <v>0.041</v>
      </c>
    </row>
    <row r="28" spans="1:10" s="486" customFormat="1" ht="13.5">
      <c r="A28" s="503" t="s">
        <v>546</v>
      </c>
      <c r="B28" s="499" t="s">
        <v>547</v>
      </c>
      <c r="C28" s="500"/>
      <c r="D28" s="500"/>
      <c r="E28" s="500"/>
      <c r="F28" s="500"/>
      <c r="G28" s="502"/>
      <c r="H28" s="502">
        <f>((E25/E14)+(F25/F14)+(G25/G14))*1/3</f>
        <v>0.035</v>
      </c>
      <c r="I28" s="502">
        <f>((F25/F14)+(G25/G14)+(H25/H14))*1/3</f>
        <v>0.037</v>
      </c>
      <c r="J28" s="502">
        <f>((G25/G14)+(H25/H14)+(I25/I14))*1/3</f>
        <v>0.036</v>
      </c>
    </row>
    <row r="29" spans="1:11" s="200" customFormat="1" ht="12.75">
      <c r="A29" s="480"/>
      <c r="D29" s="352"/>
      <c r="E29" s="352"/>
      <c r="F29" s="352"/>
      <c r="G29" s="352"/>
      <c r="H29" s="352"/>
      <c r="I29" s="352"/>
      <c r="J29" s="352"/>
      <c r="K29" s="352"/>
    </row>
    <row r="30" spans="1:11" s="200" customFormat="1" ht="12.75">
      <c r="A30" s="480"/>
      <c r="D30" s="352"/>
      <c r="E30" s="352"/>
      <c r="F30" s="352"/>
      <c r="G30" s="352"/>
      <c r="H30" s="352"/>
      <c r="I30" s="352"/>
      <c r="J30" s="352"/>
      <c r="K30" s="352"/>
    </row>
    <row r="31" spans="1:11" s="200" customFormat="1" ht="12.75">
      <c r="A31" s="480"/>
      <c r="D31" s="353"/>
      <c r="E31" s="353"/>
      <c r="F31" s="353"/>
      <c r="G31" s="353"/>
      <c r="H31" s="353"/>
      <c r="I31" s="353"/>
      <c r="J31" s="353"/>
      <c r="K31" s="353"/>
    </row>
    <row r="32" s="200" customFormat="1" ht="12.75">
      <c r="A32" s="480"/>
    </row>
    <row r="33" s="200" customFormat="1" ht="12.75">
      <c r="A33" s="480"/>
    </row>
    <row r="34" ht="12.75">
      <c r="B34" s="7"/>
    </row>
    <row r="35" ht="12.75">
      <c r="B35" s="7"/>
    </row>
    <row r="36" ht="12.75">
      <c r="B36" s="7"/>
    </row>
    <row r="37" ht="12.75">
      <c r="B37" s="7"/>
    </row>
  </sheetData>
  <mergeCells count="7">
    <mergeCell ref="D1:G1"/>
    <mergeCell ref="A2:F2"/>
    <mergeCell ref="A4:A5"/>
    <mergeCell ref="B4:B5"/>
    <mergeCell ref="C4:C5"/>
    <mergeCell ref="D4:J4"/>
    <mergeCell ref="A3:J3"/>
  </mergeCells>
  <printOptions/>
  <pageMargins left="0.97" right="0.25" top="0.3" bottom="0.3" header="0.18" footer="0.2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2"/>
  <sheetViews>
    <sheetView workbookViewId="0" topLeftCell="A124">
      <selection activeCell="K34" sqref="K34"/>
    </sheetView>
  </sheetViews>
  <sheetFormatPr defaultColWidth="9.00390625" defaultRowHeight="12.75"/>
  <cols>
    <col min="1" max="1" width="4.125" style="3" customWidth="1"/>
    <col min="2" max="2" width="6.75390625" style="3" customWidth="1"/>
    <col min="3" max="3" width="4.375" style="3" customWidth="1"/>
    <col min="4" max="4" width="43.25390625" style="3" customWidth="1"/>
    <col min="5" max="8" width="11.125" style="5" hidden="1" customWidth="1"/>
    <col min="9" max="9" width="13.75390625" style="302" hidden="1" customWidth="1"/>
    <col min="10" max="11" width="13.75390625" style="319" customWidth="1"/>
    <col min="12" max="12" width="13.125" style="317" customWidth="1"/>
    <col min="13" max="13" width="9.125" style="7" customWidth="1"/>
    <col min="14" max="14" width="14.625" style="7" customWidth="1"/>
    <col min="15" max="16384" width="9.125" style="7" customWidth="1"/>
  </cols>
  <sheetData>
    <row r="1" spans="1:3" ht="13.5">
      <c r="A1" s="2" t="s">
        <v>451</v>
      </c>
      <c r="C1" s="4"/>
    </row>
    <row r="2" spans="1:3" ht="13.5">
      <c r="A2" s="3" t="s">
        <v>151</v>
      </c>
      <c r="C2" s="4"/>
    </row>
    <row r="3" spans="1:12" ht="16.5" customHeight="1">
      <c r="A3" s="8" t="s">
        <v>45</v>
      </c>
      <c r="B3" s="9" t="s">
        <v>118</v>
      </c>
      <c r="C3" s="10" t="s">
        <v>152</v>
      </c>
      <c r="D3" s="9" t="s">
        <v>46</v>
      </c>
      <c r="E3" s="11" t="s">
        <v>113</v>
      </c>
      <c r="F3" s="11" t="s">
        <v>209</v>
      </c>
      <c r="G3" s="11" t="s">
        <v>216</v>
      </c>
      <c r="H3" s="11" t="s">
        <v>271</v>
      </c>
      <c r="I3" s="303" t="s">
        <v>324</v>
      </c>
      <c r="J3" s="320" t="s">
        <v>381</v>
      </c>
      <c r="K3" s="320" t="s">
        <v>457</v>
      </c>
      <c r="L3" s="318"/>
    </row>
    <row r="4" spans="1:12" ht="13.5">
      <c r="A4" s="607" t="s">
        <v>104</v>
      </c>
      <c r="B4" s="12"/>
      <c r="C4" s="12"/>
      <c r="D4" s="13" t="s">
        <v>47</v>
      </c>
      <c r="E4" s="14">
        <f aca="true" t="shared" si="0" ref="E4:K4">E5</f>
        <v>17000</v>
      </c>
      <c r="F4" s="14">
        <f t="shared" si="0"/>
        <v>27000</v>
      </c>
      <c r="G4" s="14">
        <f t="shared" si="0"/>
        <v>45000</v>
      </c>
      <c r="H4" s="14">
        <f t="shared" si="0"/>
        <v>10000</v>
      </c>
      <c r="I4" s="304">
        <f t="shared" si="0"/>
        <v>27000</v>
      </c>
      <c r="J4" s="321">
        <f t="shared" si="0"/>
        <v>17000</v>
      </c>
      <c r="K4" s="321">
        <f t="shared" si="0"/>
        <v>12000</v>
      </c>
      <c r="L4" s="318">
        <f>K4-J4</f>
        <v>-5000</v>
      </c>
    </row>
    <row r="5" spans="1:12" ht="15">
      <c r="A5" s="608"/>
      <c r="B5" s="12" t="s">
        <v>105</v>
      </c>
      <c r="C5" s="12"/>
      <c r="D5" s="15" t="s">
        <v>65</v>
      </c>
      <c r="E5" s="16">
        <f aca="true" t="shared" si="1" ref="E5:J5">E6+E7</f>
        <v>17000</v>
      </c>
      <c r="F5" s="16">
        <f t="shared" si="1"/>
        <v>27000</v>
      </c>
      <c r="G5" s="16">
        <f t="shared" si="1"/>
        <v>45000</v>
      </c>
      <c r="H5" s="16">
        <f t="shared" si="1"/>
        <v>10000</v>
      </c>
      <c r="I5" s="305">
        <f t="shared" si="1"/>
        <v>27000</v>
      </c>
      <c r="J5" s="322">
        <f t="shared" si="1"/>
        <v>17000</v>
      </c>
      <c r="K5" s="322">
        <f>K6+K7</f>
        <v>12000</v>
      </c>
      <c r="L5" s="318">
        <f aca="true" t="shared" si="2" ref="L5:L74">K5-J5</f>
        <v>-5000</v>
      </c>
    </row>
    <row r="6" spans="1:12" ht="13.5">
      <c r="A6" s="608"/>
      <c r="B6" s="12"/>
      <c r="C6" s="12" t="s">
        <v>153</v>
      </c>
      <c r="D6" s="17" t="s">
        <v>154</v>
      </c>
      <c r="E6" s="18">
        <v>7000</v>
      </c>
      <c r="F6" s="18">
        <v>7000</v>
      </c>
      <c r="G6" s="18">
        <v>5000</v>
      </c>
      <c r="H6" s="18">
        <v>5000</v>
      </c>
      <c r="I6" s="306">
        <v>7000</v>
      </c>
      <c r="J6" s="295">
        <v>7000</v>
      </c>
      <c r="K6" s="295">
        <v>7000</v>
      </c>
      <c r="L6" s="318">
        <f t="shared" si="2"/>
        <v>0</v>
      </c>
    </row>
    <row r="7" spans="1:12" ht="13.5">
      <c r="A7" s="609"/>
      <c r="B7" s="19"/>
      <c r="C7" s="19" t="s">
        <v>221</v>
      </c>
      <c r="D7" s="20" t="s">
        <v>155</v>
      </c>
      <c r="E7" s="21">
        <v>10000</v>
      </c>
      <c r="F7" s="21">
        <v>20000</v>
      </c>
      <c r="G7" s="21">
        <v>40000</v>
      </c>
      <c r="H7" s="21">
        <v>5000</v>
      </c>
      <c r="I7" s="307">
        <v>20000</v>
      </c>
      <c r="J7" s="294">
        <v>10000</v>
      </c>
      <c r="K7" s="294">
        <v>5000</v>
      </c>
      <c r="L7" s="318">
        <f t="shared" si="2"/>
        <v>-5000</v>
      </c>
    </row>
    <row r="8" spans="1:12" ht="13.5">
      <c r="A8" s="27">
        <v>400</v>
      </c>
      <c r="B8" s="22"/>
      <c r="C8" s="28"/>
      <c r="D8" s="363" t="s">
        <v>464</v>
      </c>
      <c r="E8" s="29"/>
      <c r="F8" s="29"/>
      <c r="G8" s="24">
        <f aca="true" t="shared" si="3" ref="G8:K9">G9</f>
        <v>0</v>
      </c>
      <c r="H8" s="24">
        <f t="shared" si="3"/>
        <v>233960</v>
      </c>
      <c r="I8" s="308">
        <f t="shared" si="3"/>
        <v>0</v>
      </c>
      <c r="J8" s="324">
        <f t="shared" si="3"/>
        <v>0</v>
      </c>
      <c r="K8" s="323">
        <f t="shared" si="3"/>
        <v>2615787.64</v>
      </c>
      <c r="L8" s="318">
        <f t="shared" si="2"/>
        <v>2615787.64</v>
      </c>
    </row>
    <row r="9" spans="1:12" ht="13.5">
      <c r="A9" s="30"/>
      <c r="B9" s="17">
        <v>40002</v>
      </c>
      <c r="C9" s="31"/>
      <c r="D9" s="364" t="s">
        <v>116</v>
      </c>
      <c r="E9" s="18"/>
      <c r="F9" s="18"/>
      <c r="G9" s="18">
        <f t="shared" si="3"/>
        <v>0</v>
      </c>
      <c r="H9" s="18">
        <f t="shared" si="3"/>
        <v>233960</v>
      </c>
      <c r="I9" s="306">
        <f t="shared" si="3"/>
        <v>0</v>
      </c>
      <c r="J9" s="300">
        <f t="shared" si="3"/>
        <v>0</v>
      </c>
      <c r="K9" s="295">
        <f t="shared" si="3"/>
        <v>2615787.64</v>
      </c>
      <c r="L9" s="318">
        <f t="shared" si="2"/>
        <v>2615787.64</v>
      </c>
    </row>
    <row r="10" spans="1:12" ht="13.5">
      <c r="A10" s="32"/>
      <c r="B10" s="20"/>
      <c r="C10" s="372" t="s">
        <v>461</v>
      </c>
      <c r="D10" s="373" t="s">
        <v>460</v>
      </c>
      <c r="E10" s="374"/>
      <c r="F10" s="374"/>
      <c r="G10" s="374"/>
      <c r="H10" s="374">
        <v>233960</v>
      </c>
      <c r="I10" s="375"/>
      <c r="J10" s="376"/>
      <c r="K10" s="377">
        <f>1269997.91+1345789.73</f>
        <v>2615787.64</v>
      </c>
      <c r="L10" s="318">
        <f t="shared" si="2"/>
        <v>2615787.64</v>
      </c>
    </row>
    <row r="11" spans="1:12" ht="13.5">
      <c r="A11" s="610">
        <v>630</v>
      </c>
      <c r="B11" s="22"/>
      <c r="C11" s="41"/>
      <c r="D11" s="13" t="s">
        <v>49</v>
      </c>
      <c r="E11" s="24">
        <f aca="true" t="shared" si="4" ref="E11:J11">E12</f>
        <v>19000</v>
      </c>
      <c r="F11" s="24">
        <f t="shared" si="4"/>
        <v>20000</v>
      </c>
      <c r="G11" s="24">
        <f t="shared" si="4"/>
        <v>20000</v>
      </c>
      <c r="H11" s="24">
        <f t="shared" si="4"/>
        <v>20000</v>
      </c>
      <c r="I11" s="308">
        <f t="shared" si="4"/>
        <v>25200</v>
      </c>
      <c r="J11" s="323">
        <f t="shared" si="4"/>
        <v>192000</v>
      </c>
      <c r="K11" s="323">
        <f>K12+K15</f>
        <v>624022.53</v>
      </c>
      <c r="L11" s="318">
        <f t="shared" si="2"/>
        <v>432022.53</v>
      </c>
    </row>
    <row r="12" spans="1:12" ht="15">
      <c r="A12" s="611"/>
      <c r="B12" s="17">
        <v>63001</v>
      </c>
      <c r="C12" s="42"/>
      <c r="D12" s="15" t="s">
        <v>69</v>
      </c>
      <c r="E12" s="16">
        <f aca="true" t="shared" si="5" ref="E12:J12">E13+E14</f>
        <v>19000</v>
      </c>
      <c r="F12" s="16">
        <f t="shared" si="5"/>
        <v>20000</v>
      </c>
      <c r="G12" s="16">
        <f t="shared" si="5"/>
        <v>20000</v>
      </c>
      <c r="H12" s="16">
        <f t="shared" si="5"/>
        <v>20000</v>
      </c>
      <c r="I12" s="305">
        <f t="shared" si="5"/>
        <v>25200</v>
      </c>
      <c r="J12" s="322">
        <f t="shared" si="5"/>
        <v>192000</v>
      </c>
      <c r="K12" s="322">
        <f>K13+K14</f>
        <v>66000</v>
      </c>
      <c r="L12" s="318">
        <f t="shared" si="2"/>
        <v>-126000</v>
      </c>
    </row>
    <row r="13" spans="1:12" ht="13.5">
      <c r="A13" s="611"/>
      <c r="B13" s="17"/>
      <c r="C13" s="42" t="s">
        <v>156</v>
      </c>
      <c r="D13" s="17" t="s">
        <v>157</v>
      </c>
      <c r="E13" s="18">
        <v>15000</v>
      </c>
      <c r="F13" s="18">
        <v>20000</v>
      </c>
      <c r="G13" s="18">
        <v>20000</v>
      </c>
      <c r="H13" s="18">
        <v>20000</v>
      </c>
      <c r="I13" s="306">
        <v>25200</v>
      </c>
      <c r="J13" s="295">
        <v>26000</v>
      </c>
      <c r="K13" s="295">
        <v>26000</v>
      </c>
      <c r="L13" s="318">
        <f t="shared" si="2"/>
        <v>0</v>
      </c>
    </row>
    <row r="14" spans="1:12" ht="13.5">
      <c r="A14" s="611"/>
      <c r="B14" s="17"/>
      <c r="C14" s="42" t="s">
        <v>221</v>
      </c>
      <c r="D14" s="17" t="s">
        <v>266</v>
      </c>
      <c r="E14" s="18">
        <v>4000</v>
      </c>
      <c r="F14" s="18"/>
      <c r="G14" s="18"/>
      <c r="H14" s="18"/>
      <c r="I14" s="306"/>
      <c r="J14" s="295">
        <v>166000</v>
      </c>
      <c r="K14" s="295">
        <v>40000</v>
      </c>
      <c r="L14" s="318">
        <f t="shared" si="2"/>
        <v>-126000</v>
      </c>
    </row>
    <row r="15" spans="1:12" ht="13.5">
      <c r="A15" s="30"/>
      <c r="B15" s="17">
        <v>63095</v>
      </c>
      <c r="C15" s="42"/>
      <c r="D15" s="15" t="s">
        <v>463</v>
      </c>
      <c r="E15" s="360"/>
      <c r="F15" s="360"/>
      <c r="G15" s="360"/>
      <c r="H15" s="360"/>
      <c r="I15" s="361"/>
      <c r="J15" s="362"/>
      <c r="K15" s="362">
        <f>K16</f>
        <v>558022.53</v>
      </c>
      <c r="L15" s="318">
        <f t="shared" si="2"/>
        <v>558022.53</v>
      </c>
    </row>
    <row r="16" spans="1:12" ht="13.5">
      <c r="A16" s="30"/>
      <c r="B16" s="17"/>
      <c r="C16" s="359" t="s">
        <v>462</v>
      </c>
      <c r="D16" s="394" t="s">
        <v>475</v>
      </c>
      <c r="E16" s="18"/>
      <c r="F16" s="18"/>
      <c r="G16" s="18"/>
      <c r="H16" s="18"/>
      <c r="I16" s="306"/>
      <c r="J16" s="295"/>
      <c r="K16" s="295">
        <f>537022.53+21000</f>
        <v>558022.53</v>
      </c>
      <c r="L16" s="318">
        <f t="shared" si="2"/>
        <v>558022.53</v>
      </c>
    </row>
    <row r="17" spans="1:12" ht="13.5">
      <c r="A17" s="27">
        <v>600</v>
      </c>
      <c r="B17" s="22"/>
      <c r="C17" s="93"/>
      <c r="D17" s="13" t="s">
        <v>48</v>
      </c>
      <c r="E17" s="29"/>
      <c r="F17" s="29"/>
      <c r="G17" s="24">
        <f aca="true" t="shared" si="6" ref="G17:K18">G18</f>
        <v>0</v>
      </c>
      <c r="H17" s="24">
        <f t="shared" si="6"/>
        <v>233960</v>
      </c>
      <c r="I17" s="308">
        <f t="shared" si="6"/>
        <v>0</v>
      </c>
      <c r="J17" s="369">
        <f t="shared" si="6"/>
        <v>0</v>
      </c>
      <c r="K17" s="324">
        <f t="shared" si="6"/>
        <v>856800</v>
      </c>
      <c r="L17" s="318">
        <f t="shared" si="2"/>
        <v>856800</v>
      </c>
    </row>
    <row r="18" spans="1:12" ht="13.5">
      <c r="A18" s="30"/>
      <c r="B18" s="17">
        <v>60016</v>
      </c>
      <c r="C18" s="92"/>
      <c r="D18" s="15" t="s">
        <v>68</v>
      </c>
      <c r="E18" s="18"/>
      <c r="F18" s="18"/>
      <c r="G18" s="18">
        <f t="shared" si="6"/>
        <v>0</v>
      </c>
      <c r="H18" s="18">
        <f t="shared" si="6"/>
        <v>233960</v>
      </c>
      <c r="I18" s="306">
        <f t="shared" si="6"/>
        <v>0</v>
      </c>
      <c r="J18" s="357">
        <f t="shared" si="6"/>
        <v>0</v>
      </c>
      <c r="K18" s="300">
        <f>K19+K20+K21</f>
        <v>856800</v>
      </c>
      <c r="L18" s="318">
        <f t="shared" si="2"/>
        <v>856800</v>
      </c>
    </row>
    <row r="19" spans="1:12" ht="13.5">
      <c r="A19" s="30"/>
      <c r="B19" s="17"/>
      <c r="C19" s="378" t="s">
        <v>461</v>
      </c>
      <c r="D19" s="379" t="s">
        <v>460</v>
      </c>
      <c r="E19" s="380"/>
      <c r="F19" s="380"/>
      <c r="G19" s="380"/>
      <c r="H19" s="380">
        <v>233960</v>
      </c>
      <c r="I19" s="381"/>
      <c r="J19" s="382"/>
      <c r="K19" s="383"/>
      <c r="L19" s="318">
        <f t="shared" si="2"/>
        <v>0</v>
      </c>
    </row>
    <row r="20" spans="1:12" ht="13.5">
      <c r="A20" s="30"/>
      <c r="B20" s="17"/>
      <c r="C20" s="365" t="s">
        <v>467</v>
      </c>
      <c r="D20" s="17" t="s">
        <v>474</v>
      </c>
      <c r="E20" s="55"/>
      <c r="F20" s="55"/>
      <c r="G20" s="55"/>
      <c r="H20" s="55"/>
      <c r="I20" s="366"/>
      <c r="J20" s="357"/>
      <c r="K20" s="300">
        <v>841800</v>
      </c>
      <c r="L20" s="318">
        <f t="shared" si="2"/>
        <v>841800</v>
      </c>
    </row>
    <row r="21" spans="1:12" ht="12.75" customHeight="1">
      <c r="A21" s="32"/>
      <c r="B21" s="20"/>
      <c r="C21" s="358" t="s">
        <v>466</v>
      </c>
      <c r="D21" s="20" t="s">
        <v>468</v>
      </c>
      <c r="E21" s="57"/>
      <c r="F21" s="57"/>
      <c r="G21" s="57"/>
      <c r="H21" s="57"/>
      <c r="I21" s="367"/>
      <c r="J21" s="368"/>
      <c r="K21" s="301">
        <v>15000</v>
      </c>
      <c r="L21" s="318">
        <f t="shared" si="2"/>
        <v>15000</v>
      </c>
    </row>
    <row r="22" spans="1:12" ht="13.5">
      <c r="A22" s="612">
        <v>700</v>
      </c>
      <c r="B22" s="17"/>
      <c r="C22" s="35"/>
      <c r="D22" s="25" t="s">
        <v>50</v>
      </c>
      <c r="E22" s="14">
        <f aca="true" t="shared" si="7" ref="E22:K22">E23</f>
        <v>541000</v>
      </c>
      <c r="F22" s="14">
        <f t="shared" si="7"/>
        <v>728240</v>
      </c>
      <c r="G22" s="14">
        <f t="shared" si="7"/>
        <v>683600</v>
      </c>
      <c r="H22" s="14">
        <f t="shared" si="7"/>
        <v>715510</v>
      </c>
      <c r="I22" s="304">
        <f t="shared" si="7"/>
        <v>659000</v>
      </c>
      <c r="J22" s="321">
        <f t="shared" si="7"/>
        <v>2769930</v>
      </c>
      <c r="K22" s="321">
        <f t="shared" si="7"/>
        <v>993400</v>
      </c>
      <c r="L22" s="318">
        <f t="shared" si="2"/>
        <v>-1776530</v>
      </c>
    </row>
    <row r="23" spans="1:12" ht="15">
      <c r="A23" s="612"/>
      <c r="B23" s="17">
        <v>70005</v>
      </c>
      <c r="C23" s="35"/>
      <c r="D23" s="15" t="s">
        <v>70</v>
      </c>
      <c r="E23" s="16">
        <f>E24+E25+E27+E28</f>
        <v>541000</v>
      </c>
      <c r="F23" s="16">
        <f>F24+F25+F27+F28</f>
        <v>728240</v>
      </c>
      <c r="G23" s="16">
        <f>G24+G25+G27+G28</f>
        <v>683600</v>
      </c>
      <c r="H23" s="16">
        <f>H24+H25+H27+H28</f>
        <v>715510</v>
      </c>
      <c r="I23" s="305">
        <f>I24+I25+I27+I28</f>
        <v>659000</v>
      </c>
      <c r="J23" s="322">
        <f>J24+J25+J27+J28+J26</f>
        <v>2769930</v>
      </c>
      <c r="K23" s="322">
        <f>K24+K25+K27+K28+K26</f>
        <v>993400</v>
      </c>
      <c r="L23" s="318">
        <f t="shared" si="2"/>
        <v>-1776530</v>
      </c>
    </row>
    <row r="24" spans="1:12" ht="13.5">
      <c r="A24" s="612"/>
      <c r="B24" s="17"/>
      <c r="C24" s="35" t="s">
        <v>158</v>
      </c>
      <c r="D24" s="17" t="s">
        <v>159</v>
      </c>
      <c r="E24" s="18">
        <v>55000</v>
      </c>
      <c r="F24" s="18">
        <v>50000</v>
      </c>
      <c r="G24" s="18">
        <v>30000</v>
      </c>
      <c r="H24" s="18">
        <v>40000</v>
      </c>
      <c r="I24" s="306">
        <v>40000</v>
      </c>
      <c r="J24" s="295">
        <v>170000</v>
      </c>
      <c r="K24" s="295">
        <v>170000</v>
      </c>
      <c r="L24" s="318">
        <f t="shared" si="2"/>
        <v>0</v>
      </c>
    </row>
    <row r="25" spans="1:12" ht="13.5">
      <c r="A25" s="612"/>
      <c r="B25" s="17"/>
      <c r="C25" s="35" t="s">
        <v>160</v>
      </c>
      <c r="D25" s="17" t="s">
        <v>264</v>
      </c>
      <c r="E25" s="18">
        <v>170000</v>
      </c>
      <c r="F25" s="18">
        <v>170000</v>
      </c>
      <c r="G25" s="18">
        <v>180590</v>
      </c>
      <c r="H25" s="18">
        <v>160000</v>
      </c>
      <c r="I25" s="306">
        <v>180000</v>
      </c>
      <c r="J25" s="295">
        <v>180000</v>
      </c>
      <c r="K25" s="295">
        <f>195000+8400</f>
        <v>203400</v>
      </c>
      <c r="L25" s="318">
        <f t="shared" si="2"/>
        <v>23400</v>
      </c>
    </row>
    <row r="26" spans="1:12" ht="13.5">
      <c r="A26" s="612"/>
      <c r="B26" s="17"/>
      <c r="C26" s="35" t="s">
        <v>406</v>
      </c>
      <c r="D26" s="17" t="s">
        <v>407</v>
      </c>
      <c r="E26" s="18"/>
      <c r="F26" s="18"/>
      <c r="G26" s="18"/>
      <c r="H26" s="18"/>
      <c r="I26" s="306"/>
      <c r="J26" s="295">
        <v>20000</v>
      </c>
      <c r="K26" s="295">
        <v>20000</v>
      </c>
      <c r="L26" s="318">
        <f t="shared" si="2"/>
        <v>0</v>
      </c>
    </row>
    <row r="27" spans="1:12" ht="13.5">
      <c r="A27" s="612"/>
      <c r="B27" s="17"/>
      <c r="C27" s="35" t="s">
        <v>161</v>
      </c>
      <c r="D27" s="17" t="s">
        <v>469</v>
      </c>
      <c r="E27" s="18">
        <v>175000</v>
      </c>
      <c r="F27" s="18">
        <f>358240+150000</f>
        <v>508240</v>
      </c>
      <c r="G27" s="18">
        <f>354010+137000-18000</f>
        <v>473010</v>
      </c>
      <c r="H27" s="18">
        <f>415510+100000</f>
        <v>515510</v>
      </c>
      <c r="I27" s="306">
        <v>439000</v>
      </c>
      <c r="J27" s="295">
        <v>2399930</v>
      </c>
      <c r="K27" s="295">
        <v>600000</v>
      </c>
      <c r="L27" s="318">
        <f t="shared" si="2"/>
        <v>-1799930</v>
      </c>
    </row>
    <row r="28" spans="1:12" ht="13.5">
      <c r="A28" s="32"/>
      <c r="B28" s="20"/>
      <c r="C28" s="33"/>
      <c r="D28" s="20"/>
      <c r="E28" s="21">
        <v>141000</v>
      </c>
      <c r="F28" s="21"/>
      <c r="G28" s="21"/>
      <c r="H28" s="21"/>
      <c r="I28" s="307"/>
      <c r="J28" s="294"/>
      <c r="K28" s="294"/>
      <c r="L28" s="318">
        <f t="shared" si="2"/>
        <v>0</v>
      </c>
    </row>
    <row r="29" spans="1:12" ht="13.5">
      <c r="A29" s="25">
        <v>710</v>
      </c>
      <c r="B29" s="36"/>
      <c r="C29" s="37"/>
      <c r="D29" s="25" t="s">
        <v>71</v>
      </c>
      <c r="E29" s="14">
        <f aca="true" t="shared" si="8" ref="E29:K30">E30</f>
        <v>14000</v>
      </c>
      <c r="F29" s="14">
        <f t="shared" si="8"/>
        <v>15000</v>
      </c>
      <c r="G29" s="14">
        <f t="shared" si="8"/>
        <v>18000</v>
      </c>
      <c r="H29" s="14">
        <f t="shared" si="8"/>
        <v>18000</v>
      </c>
      <c r="I29" s="304">
        <f t="shared" si="8"/>
        <v>18000</v>
      </c>
      <c r="J29" s="321">
        <f t="shared" si="8"/>
        <v>18000</v>
      </c>
      <c r="K29" s="321">
        <f t="shared" si="8"/>
        <v>0</v>
      </c>
      <c r="L29" s="318">
        <f t="shared" si="2"/>
        <v>-18000</v>
      </c>
    </row>
    <row r="30" spans="1:12" ht="15">
      <c r="A30" s="38"/>
      <c r="B30" s="39">
        <v>71095</v>
      </c>
      <c r="C30" s="40"/>
      <c r="D30" s="15" t="s">
        <v>66</v>
      </c>
      <c r="E30" s="16">
        <f t="shared" si="8"/>
        <v>14000</v>
      </c>
      <c r="F30" s="16">
        <f t="shared" si="8"/>
        <v>15000</v>
      </c>
      <c r="G30" s="16">
        <f t="shared" si="8"/>
        <v>18000</v>
      </c>
      <c r="H30" s="16">
        <f t="shared" si="8"/>
        <v>18000</v>
      </c>
      <c r="I30" s="305">
        <f t="shared" si="8"/>
        <v>18000</v>
      </c>
      <c r="J30" s="322">
        <f>J31</f>
        <v>18000</v>
      </c>
      <c r="K30" s="322">
        <f>K31</f>
        <v>0</v>
      </c>
      <c r="L30" s="318">
        <f t="shared" si="2"/>
        <v>-18000</v>
      </c>
    </row>
    <row r="31" spans="1:12" ht="13.5">
      <c r="A31" s="25"/>
      <c r="B31" s="39"/>
      <c r="C31" s="12" t="s">
        <v>156</v>
      </c>
      <c r="D31" s="17" t="s">
        <v>157</v>
      </c>
      <c r="E31" s="18">
        <v>14000</v>
      </c>
      <c r="F31" s="18">
        <v>15000</v>
      </c>
      <c r="G31" s="18">
        <v>18000</v>
      </c>
      <c r="H31" s="18">
        <v>18000</v>
      </c>
      <c r="I31" s="306">
        <v>18000</v>
      </c>
      <c r="J31" s="295">
        <v>18000</v>
      </c>
      <c r="K31" s="295">
        <v>0</v>
      </c>
      <c r="L31" s="318">
        <f t="shared" si="2"/>
        <v>-18000</v>
      </c>
    </row>
    <row r="32" spans="1:12" ht="13.5">
      <c r="A32" s="613">
        <v>750</v>
      </c>
      <c r="B32" s="22"/>
      <c r="C32" s="41"/>
      <c r="D32" s="13" t="s">
        <v>51</v>
      </c>
      <c r="E32" s="24">
        <f aca="true" t="shared" si="9" ref="E32:J32">E33+E37</f>
        <v>158500</v>
      </c>
      <c r="F32" s="24">
        <f t="shared" si="9"/>
        <v>168491</v>
      </c>
      <c r="G32" s="24">
        <f t="shared" si="9"/>
        <v>166379</v>
      </c>
      <c r="H32" s="24">
        <f t="shared" si="9"/>
        <v>167073</v>
      </c>
      <c r="I32" s="308">
        <f t="shared" si="9"/>
        <v>166725</v>
      </c>
      <c r="J32" s="323">
        <f t="shared" si="9"/>
        <v>178118</v>
      </c>
      <c r="K32" s="323">
        <f>K33+K37</f>
        <v>158599</v>
      </c>
      <c r="L32" s="318">
        <f t="shared" si="2"/>
        <v>-19519</v>
      </c>
    </row>
    <row r="33" spans="1:12" ht="15">
      <c r="A33" s="612"/>
      <c r="B33" s="17">
        <v>75011</v>
      </c>
      <c r="C33" s="42"/>
      <c r="D33" s="15" t="s">
        <v>111</v>
      </c>
      <c r="E33" s="16">
        <f aca="true" t="shared" si="10" ref="E33:J33">E34+E35</f>
        <v>126500</v>
      </c>
      <c r="F33" s="16">
        <f t="shared" si="10"/>
        <v>131491</v>
      </c>
      <c r="G33" s="16">
        <f t="shared" si="10"/>
        <v>133379</v>
      </c>
      <c r="H33" s="16">
        <f t="shared" si="10"/>
        <v>134073</v>
      </c>
      <c r="I33" s="305">
        <f t="shared" si="10"/>
        <v>133725</v>
      </c>
      <c r="J33" s="322">
        <f t="shared" si="10"/>
        <v>138118</v>
      </c>
      <c r="K33" s="322">
        <f>K34+K35+K36</f>
        <v>137599</v>
      </c>
      <c r="L33" s="318">
        <f t="shared" si="2"/>
        <v>-519</v>
      </c>
    </row>
    <row r="34" spans="1:12" ht="13.5">
      <c r="A34" s="612"/>
      <c r="B34" s="17"/>
      <c r="C34" s="42" t="s">
        <v>273</v>
      </c>
      <c r="D34" s="17"/>
      <c r="E34" s="18">
        <v>1500</v>
      </c>
      <c r="F34" s="18">
        <f>50000*5%</f>
        <v>2500</v>
      </c>
      <c r="G34" s="18">
        <f>50000*5%</f>
        <v>2500</v>
      </c>
      <c r="H34" s="18">
        <v>3000</v>
      </c>
      <c r="I34" s="306">
        <v>1850</v>
      </c>
      <c r="J34" s="295">
        <f>27000*5%</f>
        <v>1350</v>
      </c>
      <c r="K34" s="295">
        <v>0</v>
      </c>
      <c r="L34" s="318">
        <f t="shared" si="2"/>
        <v>-1350</v>
      </c>
    </row>
    <row r="35" spans="1:12" ht="13.5">
      <c r="A35" s="612"/>
      <c r="B35" s="17"/>
      <c r="C35" s="42" t="s">
        <v>163</v>
      </c>
      <c r="D35" s="17" t="s">
        <v>228</v>
      </c>
      <c r="E35" s="18">
        <v>125000</v>
      </c>
      <c r="F35" s="18">
        <v>128991</v>
      </c>
      <c r="G35" s="18">
        <v>130879</v>
      </c>
      <c r="H35" s="18">
        <v>131073</v>
      </c>
      <c r="I35" s="306">
        <v>131875</v>
      </c>
      <c r="J35" s="295">
        <v>136768</v>
      </c>
      <c r="K35" s="295">
        <v>137166</v>
      </c>
      <c r="L35" s="318">
        <f t="shared" si="2"/>
        <v>398</v>
      </c>
    </row>
    <row r="36" spans="1:12" ht="13.5">
      <c r="A36" s="612"/>
      <c r="B36" s="17"/>
      <c r="C36" s="42" t="s">
        <v>208</v>
      </c>
      <c r="D36" s="17" t="s">
        <v>59</v>
      </c>
      <c r="E36" s="18"/>
      <c r="F36" s="18"/>
      <c r="G36" s="18"/>
      <c r="H36" s="18"/>
      <c r="I36" s="306"/>
      <c r="J36" s="295"/>
      <c r="K36" s="295">
        <v>433</v>
      </c>
      <c r="L36" s="318"/>
    </row>
    <row r="37" spans="1:12" ht="15">
      <c r="A37" s="612"/>
      <c r="B37" s="17">
        <v>75023</v>
      </c>
      <c r="C37" s="42"/>
      <c r="D37" s="15" t="s">
        <v>164</v>
      </c>
      <c r="E37" s="16">
        <f aca="true" t="shared" si="11" ref="E37:K37">E38+E39+E40</f>
        <v>32000</v>
      </c>
      <c r="F37" s="16">
        <f t="shared" si="11"/>
        <v>37000</v>
      </c>
      <c r="G37" s="16">
        <f t="shared" si="11"/>
        <v>33000</v>
      </c>
      <c r="H37" s="16">
        <f t="shared" si="11"/>
        <v>33000</v>
      </c>
      <c r="I37" s="305">
        <f t="shared" si="11"/>
        <v>33000</v>
      </c>
      <c r="J37" s="322">
        <f t="shared" si="11"/>
        <v>40000</v>
      </c>
      <c r="K37" s="322">
        <f t="shared" si="11"/>
        <v>21000</v>
      </c>
      <c r="L37" s="318">
        <f t="shared" si="2"/>
        <v>-19000</v>
      </c>
    </row>
    <row r="38" spans="1:12" ht="13.5">
      <c r="A38" s="612"/>
      <c r="B38" s="17"/>
      <c r="C38" s="42" t="s">
        <v>325</v>
      </c>
      <c r="D38" s="17" t="s">
        <v>326</v>
      </c>
      <c r="E38" s="43">
        <v>10000</v>
      </c>
      <c r="F38" s="43">
        <v>12000</v>
      </c>
      <c r="G38" s="43">
        <v>18000</v>
      </c>
      <c r="H38" s="43">
        <v>18000</v>
      </c>
      <c r="I38" s="309">
        <v>17000</v>
      </c>
      <c r="J38" s="300">
        <v>20000</v>
      </c>
      <c r="K38" s="300">
        <v>1000</v>
      </c>
      <c r="L38" s="318">
        <f t="shared" si="2"/>
        <v>-19000</v>
      </c>
    </row>
    <row r="39" spans="1:12" ht="13.5">
      <c r="A39" s="612"/>
      <c r="B39" s="17"/>
      <c r="C39" s="42" t="s">
        <v>156</v>
      </c>
      <c r="D39" s="17" t="s">
        <v>157</v>
      </c>
      <c r="E39" s="43">
        <v>10000</v>
      </c>
      <c r="F39" s="43">
        <v>18000</v>
      </c>
      <c r="G39" s="43">
        <v>10000</v>
      </c>
      <c r="H39" s="43"/>
      <c r="I39" s="309"/>
      <c r="J39" s="300"/>
      <c r="K39" s="300"/>
      <c r="L39" s="318">
        <f t="shared" si="2"/>
        <v>0</v>
      </c>
    </row>
    <row r="40" spans="1:12" ht="13.5">
      <c r="A40" s="32"/>
      <c r="B40" s="20"/>
      <c r="C40" s="44" t="s">
        <v>153</v>
      </c>
      <c r="D40" s="20" t="s">
        <v>154</v>
      </c>
      <c r="E40" s="45">
        <v>12000</v>
      </c>
      <c r="F40" s="45">
        <v>7000</v>
      </c>
      <c r="G40" s="45">
        <v>5000</v>
      </c>
      <c r="H40" s="45">
        <v>15000</v>
      </c>
      <c r="I40" s="310">
        <v>16000</v>
      </c>
      <c r="J40" s="301">
        <v>20000</v>
      </c>
      <c r="K40" s="301">
        <f>20000</f>
        <v>20000</v>
      </c>
      <c r="L40" s="318">
        <f t="shared" si="2"/>
        <v>0</v>
      </c>
    </row>
    <row r="41" spans="1:12" ht="13.5">
      <c r="A41" s="611">
        <v>751</v>
      </c>
      <c r="B41" s="39"/>
      <c r="C41" s="12"/>
      <c r="D41" s="36" t="s">
        <v>229</v>
      </c>
      <c r="E41" s="14">
        <f aca="true" t="shared" si="12" ref="E41:K42">E42</f>
        <v>2820</v>
      </c>
      <c r="F41" s="14">
        <f t="shared" si="12"/>
        <v>2818</v>
      </c>
      <c r="G41" s="14">
        <f t="shared" si="12"/>
        <v>2968</v>
      </c>
      <c r="H41" s="14">
        <f t="shared" si="12"/>
        <v>2866</v>
      </c>
      <c r="I41" s="304">
        <f t="shared" si="12"/>
        <v>2958</v>
      </c>
      <c r="J41" s="321">
        <f t="shared" si="12"/>
        <v>2946</v>
      </c>
      <c r="K41" s="321">
        <f t="shared" si="12"/>
        <v>2986</v>
      </c>
      <c r="L41" s="318">
        <f t="shared" si="2"/>
        <v>40</v>
      </c>
    </row>
    <row r="42" spans="1:12" ht="15">
      <c r="A42" s="611"/>
      <c r="B42" s="39">
        <v>75101</v>
      </c>
      <c r="C42" s="12"/>
      <c r="D42" s="46" t="s">
        <v>265</v>
      </c>
      <c r="E42" s="16">
        <f t="shared" si="12"/>
        <v>2820</v>
      </c>
      <c r="F42" s="16">
        <f t="shared" si="12"/>
        <v>2818</v>
      </c>
      <c r="G42" s="16">
        <f t="shared" si="12"/>
        <v>2968</v>
      </c>
      <c r="H42" s="16">
        <f t="shared" si="12"/>
        <v>2866</v>
      </c>
      <c r="I42" s="305">
        <f t="shared" si="12"/>
        <v>2958</v>
      </c>
      <c r="J42" s="322">
        <f>J43</f>
        <v>2946</v>
      </c>
      <c r="K42" s="322">
        <f>K43</f>
        <v>2986</v>
      </c>
      <c r="L42" s="318">
        <f t="shared" si="2"/>
        <v>40</v>
      </c>
    </row>
    <row r="43" spans="1:12" ht="13.5">
      <c r="A43" s="614"/>
      <c r="B43" s="39"/>
      <c r="C43" s="12" t="s">
        <v>163</v>
      </c>
      <c r="D43" s="17" t="s">
        <v>228</v>
      </c>
      <c r="E43" s="18">
        <v>2820</v>
      </c>
      <c r="F43" s="18">
        <v>2818</v>
      </c>
      <c r="G43" s="18">
        <v>2968</v>
      </c>
      <c r="H43" s="18">
        <v>2866</v>
      </c>
      <c r="I43" s="306">
        <v>2958</v>
      </c>
      <c r="J43" s="295">
        <v>2946</v>
      </c>
      <c r="K43" s="295">
        <v>2986</v>
      </c>
      <c r="L43" s="318">
        <f t="shared" si="2"/>
        <v>40</v>
      </c>
    </row>
    <row r="44" spans="1:12" ht="13.5">
      <c r="A44" s="613">
        <v>754</v>
      </c>
      <c r="B44" s="22"/>
      <c r="C44" s="23"/>
      <c r="D44" s="47" t="s">
        <v>117</v>
      </c>
      <c r="E44" s="48">
        <f aca="true" t="shared" si="13" ref="E44:K45">E45</f>
        <v>10000</v>
      </c>
      <c r="F44" s="48">
        <f t="shared" si="13"/>
        <v>7000</v>
      </c>
      <c r="G44" s="48">
        <f t="shared" si="13"/>
        <v>0</v>
      </c>
      <c r="H44" s="48">
        <f t="shared" si="13"/>
        <v>0</v>
      </c>
      <c r="I44" s="311">
        <f t="shared" si="13"/>
        <v>0</v>
      </c>
      <c r="J44" s="324">
        <f t="shared" si="13"/>
        <v>0</v>
      </c>
      <c r="K44" s="324">
        <f t="shared" si="13"/>
        <v>0</v>
      </c>
      <c r="L44" s="318">
        <f t="shared" si="2"/>
        <v>0</v>
      </c>
    </row>
    <row r="45" spans="1:12" ht="13.5">
      <c r="A45" s="612"/>
      <c r="B45" s="17">
        <v>75414</v>
      </c>
      <c r="C45" s="26"/>
      <c r="D45" s="49" t="s">
        <v>114</v>
      </c>
      <c r="E45" s="50">
        <f t="shared" si="13"/>
        <v>10000</v>
      </c>
      <c r="F45" s="50">
        <f t="shared" si="13"/>
        <v>7000</v>
      </c>
      <c r="G45" s="50">
        <f t="shared" si="13"/>
        <v>0</v>
      </c>
      <c r="H45" s="50">
        <f t="shared" si="13"/>
        <v>0</v>
      </c>
      <c r="I45" s="312">
        <f t="shared" si="13"/>
        <v>0</v>
      </c>
      <c r="J45" s="325">
        <f t="shared" si="13"/>
        <v>0</v>
      </c>
      <c r="K45" s="325">
        <f t="shared" si="13"/>
        <v>0</v>
      </c>
      <c r="L45" s="318">
        <f t="shared" si="2"/>
        <v>0</v>
      </c>
    </row>
    <row r="46" spans="1:12" ht="13.5">
      <c r="A46" s="612"/>
      <c r="B46" s="17"/>
      <c r="C46" s="26"/>
      <c r="E46" s="43">
        <v>10000</v>
      </c>
      <c r="F46" s="43">
        <v>7000</v>
      </c>
      <c r="G46" s="43">
        <v>0</v>
      </c>
      <c r="H46" s="43">
        <v>0</v>
      </c>
      <c r="I46" s="309">
        <v>0</v>
      </c>
      <c r="J46" s="300">
        <v>0</v>
      </c>
      <c r="K46" s="300">
        <v>0</v>
      </c>
      <c r="L46" s="318">
        <f t="shared" si="2"/>
        <v>0</v>
      </c>
    </row>
    <row r="47" spans="1:12" ht="16.5" customHeight="1">
      <c r="A47" s="27">
        <v>756</v>
      </c>
      <c r="B47" s="22"/>
      <c r="C47" s="34"/>
      <c r="D47" s="13" t="s">
        <v>230</v>
      </c>
      <c r="E47" s="51" t="e">
        <f>E48+E50+E70+E74</f>
        <v>#REF!</v>
      </c>
      <c r="F47" s="48" t="e">
        <f>F48+F50+F70+F74</f>
        <v>#REF!</v>
      </c>
      <c r="G47" s="48" t="e">
        <f>G48+G50+G70+G74+G59</f>
        <v>#REF!</v>
      </c>
      <c r="H47" s="48" t="e">
        <f>H48+H50+H70+H74+H59</f>
        <v>#REF!</v>
      </c>
      <c r="I47" s="311">
        <f>I48+I50+I70+I74+I59</f>
        <v>11380573</v>
      </c>
      <c r="J47" s="324">
        <f>J48+J50+J70+J74+J59</f>
        <v>12557523</v>
      </c>
      <c r="K47" s="324">
        <f>K48+K50+K70+K74+K59</f>
        <v>12108355</v>
      </c>
      <c r="L47" s="318">
        <f t="shared" si="2"/>
        <v>-449168</v>
      </c>
    </row>
    <row r="48" spans="1:12" ht="15">
      <c r="A48" s="30"/>
      <c r="B48" s="17">
        <v>75601</v>
      </c>
      <c r="C48" s="35"/>
      <c r="D48" s="15" t="s">
        <v>165</v>
      </c>
      <c r="E48" s="52">
        <f aca="true" t="shared" si="14" ref="E48:K48">E49</f>
        <v>30000</v>
      </c>
      <c r="F48" s="53">
        <f t="shared" si="14"/>
        <v>35000</v>
      </c>
      <c r="G48" s="53">
        <f t="shared" si="14"/>
        <v>37000</v>
      </c>
      <c r="H48" s="53">
        <f t="shared" si="14"/>
        <v>36000</v>
      </c>
      <c r="I48" s="313">
        <f t="shared" si="14"/>
        <v>33000</v>
      </c>
      <c r="J48" s="326">
        <f t="shared" si="14"/>
        <v>30000</v>
      </c>
      <c r="K48" s="326">
        <f t="shared" si="14"/>
        <v>23000</v>
      </c>
      <c r="L48" s="318">
        <f t="shared" si="2"/>
        <v>-7000</v>
      </c>
    </row>
    <row r="49" spans="1:12" ht="13.5">
      <c r="A49" s="30"/>
      <c r="B49" s="54"/>
      <c r="C49" s="35" t="s">
        <v>166</v>
      </c>
      <c r="D49" s="17" t="s">
        <v>231</v>
      </c>
      <c r="E49" s="55">
        <v>30000</v>
      </c>
      <c r="F49" s="43">
        <v>35000</v>
      </c>
      <c r="G49" s="43">
        <v>37000</v>
      </c>
      <c r="H49" s="43">
        <v>36000</v>
      </c>
      <c r="I49" s="309">
        <v>33000</v>
      </c>
      <c r="J49" s="300">
        <v>30000</v>
      </c>
      <c r="K49" s="300">
        <v>23000</v>
      </c>
      <c r="L49" s="318">
        <f t="shared" si="2"/>
        <v>-7000</v>
      </c>
    </row>
    <row r="50" spans="1:12" ht="15">
      <c r="A50" s="30"/>
      <c r="B50" s="17">
        <v>75615</v>
      </c>
      <c r="C50" s="56"/>
      <c r="D50" s="15" t="s">
        <v>232</v>
      </c>
      <c r="E50" s="52" t="e">
        <f>E51+E52+E53+E54+#REF!+#REF!+#REF!+E56+E57</f>
        <v>#REF!</v>
      </c>
      <c r="F50" s="53" t="e">
        <f>F51+F52+F53+F54+#REF!+#REF!+#REF!+F56+F57+F55</f>
        <v>#REF!</v>
      </c>
      <c r="G50" s="53" t="e">
        <f>G51+G52+G53+G54+#REF!+#REF!+#REF!+G56+G57+G55</f>
        <v>#REF!</v>
      </c>
      <c r="H50" s="53" t="e">
        <f>H51+H52+H53+H54+#REF!+#REF!+#REF!+H56+H57+H55</f>
        <v>#REF!</v>
      </c>
      <c r="I50" s="313">
        <f>I51+I52+I53+I54+I56+I57+I55+I58</f>
        <v>4760573</v>
      </c>
      <c r="J50" s="326">
        <f>J51+J52+J53+J54+J56+J57+J55+J58</f>
        <v>4861660</v>
      </c>
      <c r="K50" s="326">
        <f>K51+K52+K53+K54+K56+K57+K55+K58</f>
        <v>4817470</v>
      </c>
      <c r="L50" s="318">
        <f t="shared" si="2"/>
        <v>-44190</v>
      </c>
    </row>
    <row r="51" spans="1:12" ht="13.5">
      <c r="A51" s="30"/>
      <c r="B51" s="54"/>
      <c r="C51" s="35" t="s">
        <v>167</v>
      </c>
      <c r="D51" s="17" t="s">
        <v>168</v>
      </c>
      <c r="E51" s="55">
        <f>3492000+500000</f>
        <v>3992000</v>
      </c>
      <c r="F51" s="43">
        <v>4200000</v>
      </c>
      <c r="G51" s="43">
        <v>3730000</v>
      </c>
      <c r="H51" s="43">
        <v>3680000</v>
      </c>
      <c r="I51" s="309">
        <v>3960000</v>
      </c>
      <c r="J51" s="300">
        <v>4000000</v>
      </c>
      <c r="K51" s="300">
        <f>4000000</f>
        <v>4000000</v>
      </c>
      <c r="L51" s="318">
        <f t="shared" si="2"/>
        <v>0</v>
      </c>
    </row>
    <row r="52" spans="1:12" ht="13.5">
      <c r="A52" s="30"/>
      <c r="B52" s="17"/>
      <c r="C52" s="35" t="s">
        <v>169</v>
      </c>
      <c r="D52" s="17" t="s">
        <v>170</v>
      </c>
      <c r="E52" s="55">
        <v>190000</v>
      </c>
      <c r="F52" s="43">
        <v>190000</v>
      </c>
      <c r="G52" s="43">
        <v>35000</v>
      </c>
      <c r="H52" s="43">
        <v>50000</v>
      </c>
      <c r="I52" s="309">
        <v>80000</v>
      </c>
      <c r="J52" s="300">
        <v>70000</v>
      </c>
      <c r="K52" s="300">
        <v>55000</v>
      </c>
      <c r="L52" s="318">
        <f t="shared" si="2"/>
        <v>-15000</v>
      </c>
    </row>
    <row r="53" spans="1:12" ht="13.5">
      <c r="A53" s="30"/>
      <c r="B53" s="17"/>
      <c r="C53" s="35" t="s">
        <v>171</v>
      </c>
      <c r="D53" s="17" t="s">
        <v>57</v>
      </c>
      <c r="E53" s="55">
        <v>300000</v>
      </c>
      <c r="F53" s="43">
        <v>305000</v>
      </c>
      <c r="G53" s="43">
        <v>350000</v>
      </c>
      <c r="H53" s="43">
        <v>357000</v>
      </c>
      <c r="I53" s="309">
        <v>390000</v>
      </c>
      <c r="J53" s="300">
        <v>440000</v>
      </c>
      <c r="K53" s="300">
        <v>400000</v>
      </c>
      <c r="L53" s="318">
        <f t="shared" si="2"/>
        <v>-40000</v>
      </c>
    </row>
    <row r="54" spans="1:12" ht="13.5">
      <c r="A54" s="30"/>
      <c r="B54" s="17"/>
      <c r="C54" s="35" t="s">
        <v>172</v>
      </c>
      <c r="D54" s="17" t="s">
        <v>173</v>
      </c>
      <c r="E54" s="55">
        <f>42000+110000</f>
        <v>152000</v>
      </c>
      <c r="F54" s="43">
        <v>140000</v>
      </c>
      <c r="G54" s="43">
        <v>55000</v>
      </c>
      <c r="H54" s="43">
        <v>50000</v>
      </c>
      <c r="I54" s="309">
        <v>50000</v>
      </c>
      <c r="J54" s="300">
        <v>50000</v>
      </c>
      <c r="K54" s="300">
        <v>40000</v>
      </c>
      <c r="L54" s="318">
        <f t="shared" si="2"/>
        <v>-10000</v>
      </c>
    </row>
    <row r="55" spans="1:12" ht="13.5">
      <c r="A55" s="30"/>
      <c r="B55" s="17"/>
      <c r="C55" s="35" t="s">
        <v>215</v>
      </c>
      <c r="D55" s="17" t="s">
        <v>214</v>
      </c>
      <c r="E55" s="55"/>
      <c r="F55" s="43">
        <v>15000</v>
      </c>
      <c r="G55" s="43">
        <v>4000</v>
      </c>
      <c r="H55" s="43">
        <v>2000</v>
      </c>
      <c r="I55" s="309">
        <v>2000</v>
      </c>
      <c r="J55" s="300">
        <v>2500</v>
      </c>
      <c r="K55" s="300">
        <v>1000</v>
      </c>
      <c r="L55" s="318">
        <f t="shared" si="2"/>
        <v>-1500</v>
      </c>
    </row>
    <row r="56" spans="1:12" ht="13.5">
      <c r="A56" s="30"/>
      <c r="B56" s="17"/>
      <c r="C56" s="35" t="s">
        <v>180</v>
      </c>
      <c r="D56" s="17" t="s">
        <v>58</v>
      </c>
      <c r="E56" s="55">
        <v>110000</v>
      </c>
      <c r="F56" s="43">
        <v>130000</v>
      </c>
      <c r="G56" s="43">
        <v>20000</v>
      </c>
      <c r="H56" s="43">
        <v>20000</v>
      </c>
      <c r="I56" s="309">
        <v>25000</v>
      </c>
      <c r="J56" s="300">
        <v>40000</v>
      </c>
      <c r="K56" s="300">
        <v>50000</v>
      </c>
      <c r="L56" s="318">
        <f t="shared" si="2"/>
        <v>10000</v>
      </c>
    </row>
    <row r="57" spans="1:12" ht="13.5">
      <c r="A57" s="30"/>
      <c r="B57" s="17"/>
      <c r="C57" s="35" t="s">
        <v>181</v>
      </c>
      <c r="D57" s="17" t="s">
        <v>182</v>
      </c>
      <c r="E57" s="55">
        <v>5000</v>
      </c>
      <c r="F57" s="43">
        <v>7000</v>
      </c>
      <c r="G57" s="43">
        <v>7000</v>
      </c>
      <c r="H57" s="43">
        <v>10000</v>
      </c>
      <c r="I57" s="309">
        <v>10000</v>
      </c>
      <c r="J57" s="300">
        <v>10000</v>
      </c>
      <c r="K57" s="300">
        <v>10000</v>
      </c>
      <c r="L57" s="318">
        <f t="shared" si="2"/>
        <v>0</v>
      </c>
    </row>
    <row r="58" spans="1:12" ht="13.5">
      <c r="A58" s="30"/>
      <c r="B58" s="17"/>
      <c r="C58" s="35" t="s">
        <v>337</v>
      </c>
      <c r="D58" s="17"/>
      <c r="E58" s="55"/>
      <c r="F58" s="43"/>
      <c r="G58" s="43"/>
      <c r="H58" s="43"/>
      <c r="I58" s="309">
        <v>243573</v>
      </c>
      <c r="J58" s="300">
        <v>249160</v>
      </c>
      <c r="K58" s="300">
        <v>261470</v>
      </c>
      <c r="L58" s="318">
        <f t="shared" si="2"/>
        <v>12310</v>
      </c>
    </row>
    <row r="59" spans="1:12" ht="15">
      <c r="A59" s="30"/>
      <c r="B59" s="17">
        <v>75616</v>
      </c>
      <c r="C59" s="56"/>
      <c r="D59" s="15" t="s">
        <v>233</v>
      </c>
      <c r="E59" s="52">
        <f>E60+E61+E62+E63+E64+E65+E66+E68+E69</f>
        <v>0</v>
      </c>
      <c r="F59" s="53">
        <f aca="true" t="shared" si="15" ref="F59:K59">F60+F61+F62+F63+F64+F65+F66+F68+F69+F67</f>
        <v>0</v>
      </c>
      <c r="G59" s="53">
        <f t="shared" si="15"/>
        <v>1143000</v>
      </c>
      <c r="H59" s="53">
        <f t="shared" si="15"/>
        <v>1190000</v>
      </c>
      <c r="I59" s="313">
        <f t="shared" si="15"/>
        <v>1402000</v>
      </c>
      <c r="J59" s="326">
        <f t="shared" si="15"/>
        <v>1629500</v>
      </c>
      <c r="K59" s="326">
        <f t="shared" si="15"/>
        <v>1707000</v>
      </c>
      <c r="L59" s="318">
        <f t="shared" si="2"/>
        <v>77500</v>
      </c>
    </row>
    <row r="60" spans="1:12" ht="13.5">
      <c r="A60" s="30"/>
      <c r="B60" s="54"/>
      <c r="C60" s="35" t="s">
        <v>167</v>
      </c>
      <c r="D60" s="17" t="s">
        <v>168</v>
      </c>
      <c r="E60" s="55"/>
      <c r="F60" s="43"/>
      <c r="G60" s="43">
        <v>630000</v>
      </c>
      <c r="H60" s="43">
        <v>700000</v>
      </c>
      <c r="I60" s="309">
        <v>800000</v>
      </c>
      <c r="J60" s="300">
        <v>880000</v>
      </c>
      <c r="K60" s="300">
        <f>1000000+5000</f>
        <v>1005000</v>
      </c>
      <c r="L60" s="318">
        <f t="shared" si="2"/>
        <v>125000</v>
      </c>
    </row>
    <row r="61" spans="1:12" ht="13.5">
      <c r="A61" s="30"/>
      <c r="B61" s="17"/>
      <c r="C61" s="35" t="s">
        <v>169</v>
      </c>
      <c r="D61" s="17" t="s">
        <v>170</v>
      </c>
      <c r="E61" s="55"/>
      <c r="F61" s="43"/>
      <c r="G61" s="43">
        <v>115000</v>
      </c>
      <c r="H61" s="43">
        <v>150000</v>
      </c>
      <c r="I61" s="309">
        <v>210000</v>
      </c>
      <c r="J61" s="300">
        <v>250000</v>
      </c>
      <c r="K61" s="300">
        <v>170000</v>
      </c>
      <c r="L61" s="318">
        <f t="shared" si="2"/>
        <v>-80000</v>
      </c>
    </row>
    <row r="62" spans="1:12" ht="13.5">
      <c r="A62" s="30"/>
      <c r="B62" s="17"/>
      <c r="C62" s="35" t="s">
        <v>171</v>
      </c>
      <c r="D62" s="17" t="s">
        <v>57</v>
      </c>
      <c r="E62" s="55"/>
      <c r="F62" s="43"/>
      <c r="G62" s="43">
        <v>20000</v>
      </c>
      <c r="H62" s="43">
        <v>23000</v>
      </c>
      <c r="I62" s="309">
        <v>25000</v>
      </c>
      <c r="J62" s="300">
        <v>26000</v>
      </c>
      <c r="K62" s="300">
        <v>24000</v>
      </c>
      <c r="L62" s="318">
        <f t="shared" si="2"/>
        <v>-2000</v>
      </c>
    </row>
    <row r="63" spans="1:12" ht="13.5">
      <c r="A63" s="30"/>
      <c r="B63" s="17"/>
      <c r="C63" s="35" t="s">
        <v>172</v>
      </c>
      <c r="D63" s="17" t="s">
        <v>173</v>
      </c>
      <c r="E63" s="55"/>
      <c r="F63" s="43"/>
      <c r="G63" s="43">
        <v>110000</v>
      </c>
      <c r="H63" s="43">
        <v>100000</v>
      </c>
      <c r="I63" s="309">
        <v>100000</v>
      </c>
      <c r="J63" s="300">
        <v>130000</v>
      </c>
      <c r="K63" s="300">
        <v>160000</v>
      </c>
      <c r="L63" s="318">
        <f t="shared" si="2"/>
        <v>30000</v>
      </c>
    </row>
    <row r="64" spans="1:12" ht="13.5">
      <c r="A64" s="30"/>
      <c r="B64" s="17"/>
      <c r="C64" s="35" t="s">
        <v>174</v>
      </c>
      <c r="D64" s="17" t="s">
        <v>175</v>
      </c>
      <c r="E64" s="55"/>
      <c r="F64" s="43"/>
      <c r="G64" s="43">
        <v>20000</v>
      </c>
      <c r="H64" s="43">
        <v>5000</v>
      </c>
      <c r="I64" s="309">
        <v>10000</v>
      </c>
      <c r="J64" s="300">
        <v>15000</v>
      </c>
      <c r="K64" s="300">
        <v>20000</v>
      </c>
      <c r="L64" s="318">
        <f t="shared" si="2"/>
        <v>5000</v>
      </c>
    </row>
    <row r="65" spans="1:12" ht="13.5">
      <c r="A65" s="30"/>
      <c r="B65" s="17"/>
      <c r="C65" s="115" t="s">
        <v>176</v>
      </c>
      <c r="D65" s="116" t="s">
        <v>177</v>
      </c>
      <c r="E65" s="117"/>
      <c r="F65" s="118"/>
      <c r="G65" s="118">
        <v>7000</v>
      </c>
      <c r="H65" s="118">
        <v>5000</v>
      </c>
      <c r="I65" s="309">
        <v>5000</v>
      </c>
      <c r="J65" s="327">
        <v>6000</v>
      </c>
      <c r="K65" s="327">
        <v>5000</v>
      </c>
      <c r="L65" s="318">
        <f t="shared" si="2"/>
        <v>-1000</v>
      </c>
    </row>
    <row r="66" spans="1:12" ht="13.5">
      <c r="A66" s="30"/>
      <c r="B66" s="17"/>
      <c r="C66" s="35" t="s">
        <v>178</v>
      </c>
      <c r="D66" s="17" t="s">
        <v>179</v>
      </c>
      <c r="E66" s="55"/>
      <c r="F66" s="43"/>
      <c r="G66" s="43">
        <v>115000</v>
      </c>
      <c r="H66" s="43">
        <v>110000</v>
      </c>
      <c r="I66" s="309">
        <v>115000</v>
      </c>
      <c r="J66" s="300">
        <v>110000</v>
      </c>
      <c r="K66" s="300">
        <v>110000</v>
      </c>
      <c r="L66" s="318">
        <f t="shared" si="2"/>
        <v>0</v>
      </c>
    </row>
    <row r="67" spans="1:12" ht="13.5">
      <c r="A67" s="30"/>
      <c r="B67" s="17"/>
      <c r="C67" s="35" t="s">
        <v>215</v>
      </c>
      <c r="D67" s="17" t="s">
        <v>214</v>
      </c>
      <c r="E67" s="55"/>
      <c r="F67" s="43"/>
      <c r="G67" s="43">
        <v>4000</v>
      </c>
      <c r="H67" s="43">
        <v>2000</v>
      </c>
      <c r="I67" s="309">
        <v>2000</v>
      </c>
      <c r="J67" s="300">
        <v>2500</v>
      </c>
      <c r="K67" s="300">
        <v>3000</v>
      </c>
      <c r="L67" s="318">
        <f t="shared" si="2"/>
        <v>500</v>
      </c>
    </row>
    <row r="68" spans="1:12" ht="13.5">
      <c r="A68" s="30"/>
      <c r="B68" s="17"/>
      <c r="C68" s="35" t="s">
        <v>180</v>
      </c>
      <c r="D68" s="17" t="s">
        <v>58</v>
      </c>
      <c r="E68" s="55"/>
      <c r="F68" s="43"/>
      <c r="G68" s="43">
        <v>115000</v>
      </c>
      <c r="H68" s="43">
        <v>90000</v>
      </c>
      <c r="I68" s="309">
        <v>130000</v>
      </c>
      <c r="J68" s="300">
        <v>200000</v>
      </c>
      <c r="K68" s="300">
        <v>200000</v>
      </c>
      <c r="L68" s="318">
        <f t="shared" si="2"/>
        <v>0</v>
      </c>
    </row>
    <row r="69" spans="1:12" ht="13.5">
      <c r="A69" s="30"/>
      <c r="B69" s="17"/>
      <c r="C69" s="35" t="s">
        <v>181</v>
      </c>
      <c r="D69" s="17" t="s">
        <v>182</v>
      </c>
      <c r="E69" s="55"/>
      <c r="F69" s="43"/>
      <c r="G69" s="43">
        <v>7000</v>
      </c>
      <c r="H69" s="43">
        <v>5000</v>
      </c>
      <c r="I69" s="309">
        <v>5000</v>
      </c>
      <c r="J69" s="300">
        <v>10000</v>
      </c>
      <c r="K69" s="300">
        <v>10000</v>
      </c>
      <c r="L69" s="318">
        <f t="shared" si="2"/>
        <v>0</v>
      </c>
    </row>
    <row r="70" spans="1:12" ht="15">
      <c r="A70" s="30"/>
      <c r="B70" s="17">
        <v>75618</v>
      </c>
      <c r="C70" s="35"/>
      <c r="D70" s="15" t="s">
        <v>234</v>
      </c>
      <c r="E70" s="52">
        <f aca="true" t="shared" si="16" ref="E70:J70">E71+E72+E73</f>
        <v>430000</v>
      </c>
      <c r="F70" s="53">
        <f t="shared" si="16"/>
        <v>450000</v>
      </c>
      <c r="G70" s="53">
        <f t="shared" si="16"/>
        <v>500000</v>
      </c>
      <c r="H70" s="53">
        <f t="shared" si="16"/>
        <v>465000</v>
      </c>
      <c r="I70" s="313">
        <f t="shared" si="16"/>
        <v>465000</v>
      </c>
      <c r="J70" s="326">
        <f t="shared" si="16"/>
        <v>478000</v>
      </c>
      <c r="K70" s="326">
        <f>K71+K72+K73</f>
        <v>468000</v>
      </c>
      <c r="L70" s="318">
        <f t="shared" si="2"/>
        <v>-10000</v>
      </c>
    </row>
    <row r="71" spans="1:12" ht="13.5">
      <c r="A71" s="30"/>
      <c r="B71" s="54"/>
      <c r="C71" s="35" t="s">
        <v>183</v>
      </c>
      <c r="D71" s="17" t="s">
        <v>184</v>
      </c>
      <c r="E71" s="55">
        <v>160000</v>
      </c>
      <c r="F71" s="43">
        <v>170000</v>
      </c>
      <c r="G71" s="43">
        <v>205000</v>
      </c>
      <c r="H71" s="43">
        <v>180000</v>
      </c>
      <c r="I71" s="309">
        <v>195000</v>
      </c>
      <c r="J71" s="300">
        <v>200000</v>
      </c>
      <c r="K71" s="300">
        <v>190000</v>
      </c>
      <c r="L71" s="318">
        <f t="shared" si="2"/>
        <v>-10000</v>
      </c>
    </row>
    <row r="72" spans="1:12" ht="13.5">
      <c r="A72" s="30"/>
      <c r="B72" s="17"/>
      <c r="C72" s="35" t="s">
        <v>185</v>
      </c>
      <c r="D72" s="17" t="s">
        <v>186</v>
      </c>
      <c r="E72" s="55">
        <v>80000</v>
      </c>
      <c r="F72" s="43">
        <v>90000</v>
      </c>
      <c r="G72" s="43">
        <v>105000</v>
      </c>
      <c r="H72" s="43">
        <v>105000</v>
      </c>
      <c r="I72" s="309">
        <v>90000</v>
      </c>
      <c r="J72" s="300">
        <v>98000</v>
      </c>
      <c r="K72" s="300">
        <v>98000</v>
      </c>
      <c r="L72" s="318">
        <f t="shared" si="2"/>
        <v>0</v>
      </c>
    </row>
    <row r="73" spans="1:12" ht="13.5">
      <c r="A73" s="30"/>
      <c r="B73" s="17"/>
      <c r="C73" s="35" t="s">
        <v>187</v>
      </c>
      <c r="D73" s="17" t="s">
        <v>188</v>
      </c>
      <c r="E73" s="55">
        <v>190000</v>
      </c>
      <c r="F73" s="43">
        <v>190000</v>
      </c>
      <c r="G73" s="43">
        <v>190000</v>
      </c>
      <c r="H73" s="43">
        <v>180000</v>
      </c>
      <c r="I73" s="309">
        <v>180000</v>
      </c>
      <c r="J73" s="300">
        <v>180000</v>
      </c>
      <c r="K73" s="300">
        <v>180000</v>
      </c>
      <c r="L73" s="318">
        <f t="shared" si="2"/>
        <v>0</v>
      </c>
    </row>
    <row r="74" spans="1:12" ht="15">
      <c r="A74" s="30"/>
      <c r="B74" s="17">
        <v>75621</v>
      </c>
      <c r="C74" s="56"/>
      <c r="D74" s="15" t="s">
        <v>241</v>
      </c>
      <c r="E74" s="52">
        <f aca="true" t="shared" si="17" ref="E74:J74">E75+E76</f>
        <v>2611000</v>
      </c>
      <c r="F74" s="53">
        <f t="shared" si="17"/>
        <v>3086867</v>
      </c>
      <c r="G74" s="53">
        <f t="shared" si="17"/>
        <v>3729778</v>
      </c>
      <c r="H74" s="53">
        <f t="shared" si="17"/>
        <v>4619184</v>
      </c>
      <c r="I74" s="313">
        <f t="shared" si="17"/>
        <v>4720000</v>
      </c>
      <c r="J74" s="326">
        <f t="shared" si="17"/>
        <v>5558363</v>
      </c>
      <c r="K74" s="326">
        <f>K75+K76</f>
        <v>5092885</v>
      </c>
      <c r="L74" s="318">
        <f t="shared" si="2"/>
        <v>-465478</v>
      </c>
    </row>
    <row r="75" spans="1:12" ht="13.5">
      <c r="A75" s="30"/>
      <c r="B75" s="54"/>
      <c r="C75" s="35" t="s">
        <v>189</v>
      </c>
      <c r="D75" s="17" t="s">
        <v>190</v>
      </c>
      <c r="E75" s="55">
        <v>2511000</v>
      </c>
      <c r="F75" s="43">
        <v>2906867</v>
      </c>
      <c r="G75" s="43">
        <v>3539778</v>
      </c>
      <c r="H75" s="43">
        <v>4319184</v>
      </c>
      <c r="I75" s="309">
        <v>4320000</v>
      </c>
      <c r="J75" s="300">
        <v>5108363</v>
      </c>
      <c r="K75" s="300">
        <v>4792885</v>
      </c>
      <c r="L75" s="318">
        <f aca="true" t="shared" si="18" ref="L75:L147">K75-J75</f>
        <v>-315478</v>
      </c>
    </row>
    <row r="76" spans="1:12" ht="13.5">
      <c r="A76" s="32"/>
      <c r="B76" s="20"/>
      <c r="C76" s="33" t="s">
        <v>191</v>
      </c>
      <c r="D76" s="20" t="s">
        <v>192</v>
      </c>
      <c r="E76" s="57">
        <v>100000</v>
      </c>
      <c r="F76" s="45">
        <v>180000</v>
      </c>
      <c r="G76" s="45">
        <v>190000</v>
      </c>
      <c r="H76" s="45">
        <v>300000</v>
      </c>
      <c r="I76" s="310">
        <v>400000</v>
      </c>
      <c r="J76" s="301">
        <v>450000</v>
      </c>
      <c r="K76" s="301">
        <v>300000</v>
      </c>
      <c r="L76" s="318">
        <f t="shared" si="18"/>
        <v>-150000</v>
      </c>
    </row>
    <row r="77" spans="1:12" ht="13.5">
      <c r="A77" s="611">
        <v>758</v>
      </c>
      <c r="B77" s="39"/>
      <c r="C77" s="12"/>
      <c r="D77" s="36" t="s">
        <v>52</v>
      </c>
      <c r="E77" s="14">
        <f>E78+E80+E84</f>
        <v>12641216</v>
      </c>
      <c r="F77" s="14">
        <f>F78+F80+F84</f>
        <v>12311142</v>
      </c>
      <c r="G77" s="14">
        <f>G78+G80+G84+G82</f>
        <v>13519423</v>
      </c>
      <c r="H77" s="14">
        <f>H78+H80+H84+H82</f>
        <v>14534154</v>
      </c>
      <c r="I77" s="304">
        <f>I78+I80+I84+I82</f>
        <v>14838966</v>
      </c>
      <c r="J77" s="321">
        <f>J78+J80+J84+J82</f>
        <v>18018041</v>
      </c>
      <c r="K77" s="321">
        <f>K78+K80+K84+K82</f>
        <v>18746070</v>
      </c>
      <c r="L77" s="318">
        <f t="shared" si="18"/>
        <v>728029</v>
      </c>
    </row>
    <row r="78" spans="1:12" ht="15">
      <c r="A78" s="611"/>
      <c r="B78" s="39">
        <v>75801</v>
      </c>
      <c r="C78" s="12"/>
      <c r="D78" s="46" t="s">
        <v>193</v>
      </c>
      <c r="E78" s="16">
        <f aca="true" t="shared" si="19" ref="E78:K78">E79</f>
        <v>8435450</v>
      </c>
      <c r="F78" s="16">
        <f t="shared" si="19"/>
        <v>8024457</v>
      </c>
      <c r="G78" s="16">
        <f t="shared" si="19"/>
        <v>7966690</v>
      </c>
      <c r="H78" s="16">
        <f t="shared" si="19"/>
        <v>8078301</v>
      </c>
      <c r="I78" s="305">
        <f t="shared" si="19"/>
        <v>8351027</v>
      </c>
      <c r="J78" s="322">
        <f t="shared" si="19"/>
        <v>9876218</v>
      </c>
      <c r="K78" s="322">
        <f t="shared" si="19"/>
        <v>9922572</v>
      </c>
      <c r="L78" s="318">
        <f t="shared" si="18"/>
        <v>46354</v>
      </c>
    </row>
    <row r="79" spans="1:12" ht="13.5">
      <c r="A79" s="611"/>
      <c r="B79" s="39"/>
      <c r="C79" s="12" t="s">
        <v>194</v>
      </c>
      <c r="D79" s="39" t="s">
        <v>195</v>
      </c>
      <c r="E79" s="18">
        <v>8435450</v>
      </c>
      <c r="F79" s="18">
        <v>8024457</v>
      </c>
      <c r="G79" s="18">
        <v>7966690</v>
      </c>
      <c r="H79" s="18">
        <v>8078301</v>
      </c>
      <c r="I79" s="306">
        <v>8351027</v>
      </c>
      <c r="J79" s="295">
        <v>9876218</v>
      </c>
      <c r="K79" s="295">
        <v>9922572</v>
      </c>
      <c r="L79" s="318">
        <f t="shared" si="18"/>
        <v>46354</v>
      </c>
    </row>
    <row r="80" spans="1:12" ht="15">
      <c r="A80" s="611"/>
      <c r="B80" s="39">
        <v>75807</v>
      </c>
      <c r="C80" s="12"/>
      <c r="D80" s="46" t="s">
        <v>196</v>
      </c>
      <c r="E80" s="16">
        <f aca="true" t="shared" si="20" ref="E80:K80">E81</f>
        <v>4202766</v>
      </c>
      <c r="F80" s="16">
        <f t="shared" si="20"/>
        <v>4283685</v>
      </c>
      <c r="G80" s="16">
        <f t="shared" si="20"/>
        <v>4973768</v>
      </c>
      <c r="H80" s="16">
        <f t="shared" si="20"/>
        <v>5773873</v>
      </c>
      <c r="I80" s="305">
        <f t="shared" si="20"/>
        <v>5747551</v>
      </c>
      <c r="J80" s="322">
        <f t="shared" si="20"/>
        <v>7381154</v>
      </c>
      <c r="K80" s="322">
        <f t="shared" si="20"/>
        <v>8009998</v>
      </c>
      <c r="L80" s="318">
        <f t="shared" si="18"/>
        <v>628844</v>
      </c>
    </row>
    <row r="81" spans="1:12" ht="13.5">
      <c r="A81" s="611"/>
      <c r="B81" s="39"/>
      <c r="C81" s="12" t="s">
        <v>194</v>
      </c>
      <c r="D81" s="39" t="s">
        <v>195</v>
      </c>
      <c r="E81" s="18">
        <v>4202766</v>
      </c>
      <c r="F81" s="18">
        <v>4283685</v>
      </c>
      <c r="G81" s="18">
        <v>4973768</v>
      </c>
      <c r="H81" s="18">
        <v>5773873</v>
      </c>
      <c r="I81" s="306">
        <v>5747551</v>
      </c>
      <c r="J81" s="295">
        <v>7381154</v>
      </c>
      <c r="K81" s="295">
        <v>8009998</v>
      </c>
      <c r="L81" s="318">
        <f t="shared" si="18"/>
        <v>628844</v>
      </c>
    </row>
    <row r="82" spans="1:12" ht="15">
      <c r="A82" s="611"/>
      <c r="B82" s="39">
        <v>75831</v>
      </c>
      <c r="C82" s="12"/>
      <c r="D82" s="46" t="s">
        <v>238</v>
      </c>
      <c r="E82" s="18"/>
      <c r="F82" s="18"/>
      <c r="G82" s="18">
        <f>G83</f>
        <v>573965</v>
      </c>
      <c r="H82" s="18">
        <f>H83</f>
        <v>675980</v>
      </c>
      <c r="I82" s="305">
        <f>I83</f>
        <v>730388</v>
      </c>
      <c r="J82" s="322">
        <f>J83</f>
        <v>730669</v>
      </c>
      <c r="K82" s="322">
        <f>K83</f>
        <v>783500</v>
      </c>
      <c r="L82" s="318">
        <f t="shared" si="18"/>
        <v>52831</v>
      </c>
    </row>
    <row r="83" spans="1:12" ht="13.5">
      <c r="A83" s="611"/>
      <c r="B83" s="39"/>
      <c r="C83" s="12" t="s">
        <v>194</v>
      </c>
      <c r="D83" s="39" t="s">
        <v>195</v>
      </c>
      <c r="E83" s="18"/>
      <c r="F83" s="18"/>
      <c r="G83" s="18">
        <v>573965</v>
      </c>
      <c r="H83" s="18">
        <v>675980</v>
      </c>
      <c r="I83" s="306">
        <v>730388</v>
      </c>
      <c r="J83" s="295">
        <v>730669</v>
      </c>
      <c r="K83" s="295">
        <v>783500</v>
      </c>
      <c r="L83" s="318">
        <f t="shared" si="18"/>
        <v>52831</v>
      </c>
    </row>
    <row r="84" spans="1:12" ht="15">
      <c r="A84" s="611"/>
      <c r="B84" s="39">
        <v>75814</v>
      </c>
      <c r="C84" s="12"/>
      <c r="D84" s="46" t="s">
        <v>197</v>
      </c>
      <c r="E84" s="16">
        <f aca="true" t="shared" si="21" ref="E84:K84">E85</f>
        <v>3000</v>
      </c>
      <c r="F84" s="16">
        <f t="shared" si="21"/>
        <v>3000</v>
      </c>
      <c r="G84" s="16">
        <f t="shared" si="21"/>
        <v>5000</v>
      </c>
      <c r="H84" s="16">
        <f t="shared" si="21"/>
        <v>6000</v>
      </c>
      <c r="I84" s="305">
        <f t="shared" si="21"/>
        <v>10000</v>
      </c>
      <c r="J84" s="322">
        <f t="shared" si="21"/>
        <v>30000</v>
      </c>
      <c r="K84" s="322">
        <f t="shared" si="21"/>
        <v>30000</v>
      </c>
      <c r="L84" s="318">
        <f t="shared" si="18"/>
        <v>0</v>
      </c>
    </row>
    <row r="85" spans="1:12" ht="13.5">
      <c r="A85" s="614"/>
      <c r="B85" s="58"/>
      <c r="C85" s="19" t="s">
        <v>198</v>
      </c>
      <c r="D85" s="58" t="s">
        <v>199</v>
      </c>
      <c r="E85" s="21">
        <v>3000</v>
      </c>
      <c r="F85" s="21">
        <v>3000</v>
      </c>
      <c r="G85" s="21">
        <v>5000</v>
      </c>
      <c r="H85" s="21">
        <v>6000</v>
      </c>
      <c r="I85" s="307">
        <v>10000</v>
      </c>
      <c r="J85" s="294">
        <v>30000</v>
      </c>
      <c r="K85" s="294">
        <v>30000</v>
      </c>
      <c r="L85" s="318">
        <f t="shared" si="18"/>
        <v>0</v>
      </c>
    </row>
    <row r="86" spans="1:12" ht="13.5">
      <c r="A86" s="610">
        <v>801</v>
      </c>
      <c r="B86" s="22"/>
      <c r="C86" s="23"/>
      <c r="D86" s="13" t="s">
        <v>53</v>
      </c>
      <c r="E86" s="24">
        <f>E90</f>
        <v>760000</v>
      </c>
      <c r="F86" s="24">
        <f>F90</f>
        <v>680000</v>
      </c>
      <c r="G86" s="24">
        <f>G90</f>
        <v>650000</v>
      </c>
      <c r="H86" s="24">
        <f>H90</f>
        <v>650000</v>
      </c>
      <c r="I86" s="308">
        <f>I90+I87</f>
        <v>1822045.15</v>
      </c>
      <c r="J86" s="323">
        <f>J90+J87</f>
        <v>2120353.94</v>
      </c>
      <c r="K86" s="323">
        <f>K90+K87</f>
        <v>1002842.34</v>
      </c>
      <c r="L86" s="318">
        <f t="shared" si="18"/>
        <v>-1117511.6</v>
      </c>
    </row>
    <row r="87" spans="1:12" ht="15">
      <c r="A87" s="611"/>
      <c r="B87" s="17">
        <v>80101</v>
      </c>
      <c r="C87" s="26"/>
      <c r="D87" s="15" t="s">
        <v>81</v>
      </c>
      <c r="E87" s="14"/>
      <c r="F87" s="14"/>
      <c r="G87" s="14"/>
      <c r="H87" s="14"/>
      <c r="I87" s="305">
        <f>I89</f>
        <v>1145045.15</v>
      </c>
      <c r="J87" s="322">
        <f>J89+J88</f>
        <v>1181921.6</v>
      </c>
      <c r="K87" s="322">
        <f>K89+K88</f>
        <v>272000</v>
      </c>
      <c r="L87" s="318">
        <f t="shared" si="18"/>
        <v>-909921.6</v>
      </c>
    </row>
    <row r="88" spans="1:12" ht="13.5">
      <c r="A88" s="611"/>
      <c r="B88" s="17"/>
      <c r="C88" s="26"/>
      <c r="D88" s="17"/>
      <c r="E88" s="14"/>
      <c r="F88" s="14"/>
      <c r="G88" s="14"/>
      <c r="H88" s="14"/>
      <c r="I88" s="304"/>
      <c r="J88" s="295"/>
      <c r="K88" s="295"/>
      <c r="L88" s="318">
        <f t="shared" si="18"/>
        <v>0</v>
      </c>
    </row>
    <row r="89" spans="1:12" ht="13.5">
      <c r="A89" s="611"/>
      <c r="B89" s="17"/>
      <c r="C89" s="359" t="s">
        <v>462</v>
      </c>
      <c r="D89" s="17" t="s">
        <v>336</v>
      </c>
      <c r="E89" s="14"/>
      <c r="F89" s="14"/>
      <c r="G89" s="14"/>
      <c r="H89" s="14"/>
      <c r="I89" s="306">
        <f>313711*3.65</f>
        <v>1145045.15</v>
      </c>
      <c r="J89" s="295">
        <f>347624*3.4</f>
        <v>1181921.6</v>
      </c>
      <c r="K89" s="295">
        <v>272000</v>
      </c>
      <c r="L89" s="318">
        <f t="shared" si="18"/>
        <v>-909921.6</v>
      </c>
    </row>
    <row r="90" spans="1:12" ht="15">
      <c r="A90" s="611"/>
      <c r="B90" s="17">
        <v>80195</v>
      </c>
      <c r="C90" s="26"/>
      <c r="D90" s="15" t="s">
        <v>200</v>
      </c>
      <c r="E90" s="16">
        <f>E95+E97+E98</f>
        <v>760000</v>
      </c>
      <c r="F90" s="16">
        <f>F95+F97+F98</f>
        <v>680000</v>
      </c>
      <c r="G90" s="16">
        <f>G95+G97+G98</f>
        <v>650000</v>
      </c>
      <c r="H90" s="16">
        <f>H95+H97+H98</f>
        <v>650000</v>
      </c>
      <c r="I90" s="305">
        <f>I95+I97+I98</f>
        <v>677000</v>
      </c>
      <c r="J90" s="322">
        <f>J95+J97+J98+J96+J91+J92+J93+J94</f>
        <v>938432.34</v>
      </c>
      <c r="K90" s="322">
        <f>K95+K97+K98+K96+K91+K92+K93+K94</f>
        <v>730842.34</v>
      </c>
      <c r="L90" s="318">
        <f t="shared" si="18"/>
        <v>-207590</v>
      </c>
    </row>
    <row r="91" spans="1:12" ht="15">
      <c r="A91" s="611"/>
      <c r="B91" s="17"/>
      <c r="C91" s="391" t="s">
        <v>452</v>
      </c>
      <c r="D91" s="379" t="s">
        <v>382</v>
      </c>
      <c r="E91" s="392"/>
      <c r="F91" s="392"/>
      <c r="G91" s="392"/>
      <c r="H91" s="392"/>
      <c r="I91" s="393"/>
      <c r="J91" s="387">
        <v>44557.14</v>
      </c>
      <c r="K91" s="387">
        <v>0</v>
      </c>
      <c r="L91" s="318">
        <f t="shared" si="18"/>
        <v>-44557.14</v>
      </c>
    </row>
    <row r="92" spans="1:12" ht="15">
      <c r="A92" s="611"/>
      <c r="B92" s="17"/>
      <c r="C92" s="391" t="s">
        <v>453</v>
      </c>
      <c r="D92" s="379" t="s">
        <v>382</v>
      </c>
      <c r="E92" s="392"/>
      <c r="F92" s="392"/>
      <c r="G92" s="392"/>
      <c r="H92" s="392"/>
      <c r="I92" s="393"/>
      <c r="J92" s="387">
        <v>6992.86</v>
      </c>
      <c r="K92" s="387">
        <v>0</v>
      </c>
      <c r="L92" s="318">
        <f t="shared" si="18"/>
        <v>-6992.86</v>
      </c>
    </row>
    <row r="93" spans="1:12" ht="15">
      <c r="A93" s="611"/>
      <c r="B93" s="17"/>
      <c r="C93" s="391" t="s">
        <v>452</v>
      </c>
      <c r="D93" s="379" t="s">
        <v>455</v>
      </c>
      <c r="E93" s="392"/>
      <c r="F93" s="392"/>
      <c r="G93" s="392"/>
      <c r="H93" s="392"/>
      <c r="I93" s="393"/>
      <c r="J93" s="387">
        <v>34416.23</v>
      </c>
      <c r="K93" s="387">
        <v>13671.93</v>
      </c>
      <c r="L93" s="318">
        <f t="shared" si="18"/>
        <v>-20744.3</v>
      </c>
    </row>
    <row r="94" spans="1:12" ht="15">
      <c r="A94" s="611"/>
      <c r="B94" s="17"/>
      <c r="C94" s="391" t="s">
        <v>453</v>
      </c>
      <c r="D94" s="379" t="s">
        <v>455</v>
      </c>
      <c r="E94" s="392"/>
      <c r="F94" s="392"/>
      <c r="G94" s="392"/>
      <c r="H94" s="392"/>
      <c r="I94" s="393"/>
      <c r="J94" s="387">
        <v>5466.11</v>
      </c>
      <c r="K94" s="387">
        <f>2563.07-392.66</f>
        <v>2170.41</v>
      </c>
      <c r="L94" s="318">
        <f t="shared" si="18"/>
        <v>-3295.7</v>
      </c>
    </row>
    <row r="95" spans="1:12" ht="13.5">
      <c r="A95" s="611"/>
      <c r="B95" s="17"/>
      <c r="C95" s="26" t="s">
        <v>156</v>
      </c>
      <c r="D95" s="17" t="s">
        <v>404</v>
      </c>
      <c r="E95" s="18">
        <v>530000</v>
      </c>
      <c r="F95" s="18">
        <v>480000</v>
      </c>
      <c r="G95" s="18">
        <v>450000</v>
      </c>
      <c r="H95" s="18">
        <v>453000</v>
      </c>
      <c r="I95" s="306">
        <v>480000</v>
      </c>
      <c r="J95" s="295">
        <v>530000</v>
      </c>
      <c r="K95" s="295">
        <v>530000</v>
      </c>
      <c r="L95" s="318">
        <f t="shared" si="18"/>
        <v>0</v>
      </c>
    </row>
    <row r="96" spans="1:12" ht="13.5">
      <c r="A96" s="611"/>
      <c r="B96" s="17"/>
      <c r="C96" s="26" t="s">
        <v>156</v>
      </c>
      <c r="D96" s="17" t="s">
        <v>405</v>
      </c>
      <c r="E96" s="18"/>
      <c r="F96" s="18"/>
      <c r="G96" s="18"/>
      <c r="H96" s="18"/>
      <c r="I96" s="306"/>
      <c r="J96" s="295">
        <v>135000</v>
      </c>
      <c r="K96" s="295"/>
      <c r="L96" s="318">
        <f t="shared" si="18"/>
        <v>-135000</v>
      </c>
    </row>
    <row r="97" spans="1:12" ht="13.5">
      <c r="A97" s="611"/>
      <c r="B97" s="17"/>
      <c r="C97" s="26" t="s">
        <v>221</v>
      </c>
      <c r="D97" s="17" t="s">
        <v>458</v>
      </c>
      <c r="E97" s="18">
        <v>210000</v>
      </c>
      <c r="F97" s="18">
        <v>195000</v>
      </c>
      <c r="G97" s="18">
        <v>195000</v>
      </c>
      <c r="H97" s="18">
        <v>195000</v>
      </c>
      <c r="I97" s="306">
        <v>195000</v>
      </c>
      <c r="J97" s="295">
        <v>180000</v>
      </c>
      <c r="K97" s="295">
        <v>180000</v>
      </c>
      <c r="L97" s="318">
        <f t="shared" si="18"/>
        <v>0</v>
      </c>
    </row>
    <row r="98" spans="1:12" ht="13.5">
      <c r="A98" s="611"/>
      <c r="B98" s="17"/>
      <c r="C98" s="26" t="s">
        <v>153</v>
      </c>
      <c r="D98" s="17" t="s">
        <v>459</v>
      </c>
      <c r="E98" s="18">
        <v>20000</v>
      </c>
      <c r="F98" s="18">
        <v>5000</v>
      </c>
      <c r="G98" s="18">
        <v>5000</v>
      </c>
      <c r="H98" s="18">
        <v>2000</v>
      </c>
      <c r="I98" s="306">
        <f>2000</f>
        <v>2000</v>
      </c>
      <c r="J98" s="295">
        <v>2000</v>
      </c>
      <c r="K98" s="295">
        <v>5000</v>
      </c>
      <c r="L98" s="318">
        <f t="shared" si="18"/>
        <v>3000</v>
      </c>
    </row>
    <row r="99" spans="1:12" ht="13.5">
      <c r="A99" s="615">
        <v>852</v>
      </c>
      <c r="B99" s="22"/>
      <c r="C99" s="34"/>
      <c r="D99" s="13" t="s">
        <v>115</v>
      </c>
      <c r="E99" s="51">
        <f>E100+E109+E112+E115+E117+E122</f>
        <v>1120015</v>
      </c>
      <c r="F99" s="48">
        <f>F100+F109+F112+F115+F117+F122+F106</f>
        <v>4739680</v>
      </c>
      <c r="G99" s="24">
        <f>G100+G109+G112+G115+G117+G122+G106+G125</f>
        <v>6363805</v>
      </c>
      <c r="H99" s="24">
        <f>H100+H109+H112+H115+H117+H122+H106+H125</f>
        <v>7530627</v>
      </c>
      <c r="I99" s="308">
        <f>I100+I109+I112+I115+I117+I122+I106+I125</f>
        <v>7633500</v>
      </c>
      <c r="J99" s="323">
        <f>J100+J109+J112+J115+J117+J122+J106+J125</f>
        <v>7058675</v>
      </c>
      <c r="K99" s="323">
        <f>K100+K109+K112+K115+K117+K122+K106+K125</f>
        <v>7424078.21</v>
      </c>
      <c r="L99" s="318">
        <f t="shared" si="18"/>
        <v>365403.21</v>
      </c>
    </row>
    <row r="100" spans="1:12" ht="15">
      <c r="A100" s="616"/>
      <c r="B100" s="17">
        <v>85203</v>
      </c>
      <c r="C100" s="35"/>
      <c r="D100" s="17" t="s">
        <v>242</v>
      </c>
      <c r="E100" s="52">
        <f>E101</f>
        <v>303400</v>
      </c>
      <c r="F100" s="53">
        <f>F101</f>
        <v>307800</v>
      </c>
      <c r="G100" s="16">
        <f>G101</f>
        <v>311800</v>
      </c>
      <c r="H100" s="16">
        <f>H101+H104+H105</f>
        <v>407497</v>
      </c>
      <c r="I100" s="305">
        <f>I101+I104+I105</f>
        <v>379440</v>
      </c>
      <c r="J100" s="322">
        <f>J101+J104+J105</f>
        <v>406900</v>
      </c>
      <c r="K100" s="322">
        <f>K101+K104+K105+K102+K103</f>
        <v>605061.21</v>
      </c>
      <c r="L100" s="318">
        <f t="shared" si="18"/>
        <v>198161.21</v>
      </c>
    </row>
    <row r="101" spans="1:12" ht="13.5">
      <c r="A101" s="616"/>
      <c r="B101" s="17"/>
      <c r="C101" s="35" t="s">
        <v>163</v>
      </c>
      <c r="D101" s="17" t="s">
        <v>228</v>
      </c>
      <c r="E101" s="55">
        <v>303400</v>
      </c>
      <c r="F101" s="43">
        <v>307800</v>
      </c>
      <c r="G101" s="18">
        <v>311800</v>
      </c>
      <c r="H101" s="18">
        <v>310700</v>
      </c>
      <c r="I101" s="306">
        <v>379440</v>
      </c>
      <c r="J101" s="295">
        <v>395500</v>
      </c>
      <c r="K101" s="295">
        <v>435100</v>
      </c>
      <c r="L101" s="318">
        <f t="shared" si="18"/>
        <v>39600</v>
      </c>
    </row>
    <row r="102" spans="1:12" ht="13.5">
      <c r="A102" s="616"/>
      <c r="B102" s="17"/>
      <c r="C102" s="391" t="s">
        <v>452</v>
      </c>
      <c r="D102" s="379" t="s">
        <v>557</v>
      </c>
      <c r="E102" s="55"/>
      <c r="F102" s="43"/>
      <c r="G102" s="18"/>
      <c r="H102" s="18"/>
      <c r="I102" s="306"/>
      <c r="J102" s="295"/>
      <c r="K102" s="295">
        <v>142200</v>
      </c>
      <c r="L102" s="318"/>
    </row>
    <row r="103" spans="1:12" ht="13.5">
      <c r="A103" s="616"/>
      <c r="B103" s="17"/>
      <c r="C103" s="35"/>
      <c r="D103" s="379" t="s">
        <v>557</v>
      </c>
      <c r="E103" s="55"/>
      <c r="F103" s="43"/>
      <c r="G103" s="18"/>
      <c r="H103" s="18"/>
      <c r="I103" s="306"/>
      <c r="J103" s="295"/>
      <c r="K103" s="295">
        <v>16800</v>
      </c>
      <c r="L103" s="318"/>
    </row>
    <row r="104" spans="1:12" ht="13.5">
      <c r="A104" s="616"/>
      <c r="B104" s="17"/>
      <c r="C104" s="42" t="s">
        <v>273</v>
      </c>
      <c r="D104" s="17"/>
      <c r="E104" s="55"/>
      <c r="F104" s="43"/>
      <c r="G104" s="18"/>
      <c r="H104" s="18">
        <f>500*5%</f>
        <v>25</v>
      </c>
      <c r="I104" s="306"/>
      <c r="J104" s="295"/>
      <c r="K104" s="295"/>
      <c r="L104" s="318">
        <f t="shared" si="18"/>
        <v>0</v>
      </c>
    </row>
    <row r="105" spans="1:12" ht="13.5">
      <c r="A105" s="616"/>
      <c r="B105" s="17"/>
      <c r="C105" s="33" t="s">
        <v>383</v>
      </c>
      <c r="D105" s="20" t="s">
        <v>384</v>
      </c>
      <c r="E105" s="55"/>
      <c r="F105" s="43"/>
      <c r="G105" s="18"/>
      <c r="H105" s="18">
        <v>96772</v>
      </c>
      <c r="I105" s="306"/>
      <c r="J105" s="295">
        <v>11400</v>
      </c>
      <c r="K105" s="295">
        <v>10961.21</v>
      </c>
      <c r="L105" s="318">
        <f t="shared" si="18"/>
        <v>-438.79</v>
      </c>
    </row>
    <row r="106" spans="1:12" ht="13.5">
      <c r="A106" s="616"/>
      <c r="B106" s="17">
        <v>85212</v>
      </c>
      <c r="C106" s="35"/>
      <c r="D106" s="17" t="s">
        <v>207</v>
      </c>
      <c r="E106" s="55"/>
      <c r="F106" s="43">
        <f>F108</f>
        <v>3748000</v>
      </c>
      <c r="G106" s="18">
        <f>G108</f>
        <v>5076000</v>
      </c>
      <c r="H106" s="18">
        <f>H108</f>
        <v>5881000</v>
      </c>
      <c r="I106" s="306">
        <f>I108+I107</f>
        <v>5679200</v>
      </c>
      <c r="J106" s="295">
        <f>J108+J107</f>
        <v>5249800</v>
      </c>
      <c r="K106" s="295">
        <f>K108+K107</f>
        <v>5534750</v>
      </c>
      <c r="L106" s="318">
        <f t="shared" si="18"/>
        <v>284950</v>
      </c>
    </row>
    <row r="107" spans="1:12" ht="13.5">
      <c r="A107" s="616"/>
      <c r="B107" s="17"/>
      <c r="C107" s="35" t="s">
        <v>273</v>
      </c>
      <c r="D107" s="17"/>
      <c r="E107" s="55"/>
      <c r="F107" s="43"/>
      <c r="G107" s="18"/>
      <c r="H107" s="18"/>
      <c r="I107" s="306">
        <v>200</v>
      </c>
      <c r="J107" s="295">
        <f>5000*50%</f>
        <v>2500</v>
      </c>
      <c r="K107" s="295">
        <f>19500*50%</f>
        <v>9750</v>
      </c>
      <c r="L107" s="318">
        <f t="shared" si="18"/>
        <v>7250</v>
      </c>
    </row>
    <row r="108" spans="1:12" ht="13.5">
      <c r="A108" s="616"/>
      <c r="B108" s="17"/>
      <c r="C108" s="35" t="s">
        <v>163</v>
      </c>
      <c r="D108" s="17" t="s">
        <v>228</v>
      </c>
      <c r="E108" s="55"/>
      <c r="F108" s="43">
        <v>3748000</v>
      </c>
      <c r="G108" s="18">
        <v>5076000</v>
      </c>
      <c r="H108" s="18">
        <v>5881000</v>
      </c>
      <c r="I108" s="306">
        <v>5679000</v>
      </c>
      <c r="J108" s="295">
        <v>5247300</v>
      </c>
      <c r="K108" s="295">
        <v>5525000</v>
      </c>
      <c r="L108" s="318">
        <f t="shared" si="18"/>
        <v>277700</v>
      </c>
    </row>
    <row r="109" spans="1:12" ht="15">
      <c r="A109" s="616"/>
      <c r="B109" s="17">
        <v>85213</v>
      </c>
      <c r="C109" s="35"/>
      <c r="D109" s="15" t="s">
        <v>87</v>
      </c>
      <c r="E109" s="52">
        <f aca="true" t="shared" si="22" ref="E109:J109">E110</f>
        <v>29000</v>
      </c>
      <c r="F109" s="53">
        <f t="shared" si="22"/>
        <v>42200</v>
      </c>
      <c r="G109" s="16">
        <f t="shared" si="22"/>
        <v>25800</v>
      </c>
      <c r="H109" s="16">
        <f t="shared" si="22"/>
        <v>27800</v>
      </c>
      <c r="I109" s="305">
        <f t="shared" si="22"/>
        <v>34000</v>
      </c>
      <c r="J109" s="322">
        <f t="shared" si="22"/>
        <v>28480</v>
      </c>
      <c r="K109" s="322">
        <f>K110+K111</f>
        <v>27200</v>
      </c>
      <c r="L109" s="318">
        <f t="shared" si="18"/>
        <v>-1280</v>
      </c>
    </row>
    <row r="110" spans="1:12" ht="13.5">
      <c r="A110" s="616"/>
      <c r="B110" s="17"/>
      <c r="C110" s="35" t="s">
        <v>163</v>
      </c>
      <c r="D110" s="17" t="s">
        <v>228</v>
      </c>
      <c r="E110" s="55">
        <v>29000</v>
      </c>
      <c r="F110" s="43">
        <v>42200</v>
      </c>
      <c r="G110" s="18">
        <v>25800</v>
      </c>
      <c r="H110" s="18">
        <v>27800</v>
      </c>
      <c r="I110" s="306">
        <v>34000</v>
      </c>
      <c r="J110" s="295">
        <v>28480</v>
      </c>
      <c r="K110" s="295">
        <v>5730</v>
      </c>
      <c r="L110" s="318">
        <f t="shared" si="18"/>
        <v>-22750</v>
      </c>
    </row>
    <row r="111" spans="1:12" ht="13.5">
      <c r="A111" s="616"/>
      <c r="B111" s="17"/>
      <c r="C111" s="35" t="s">
        <v>208</v>
      </c>
      <c r="D111" s="17" t="s">
        <v>59</v>
      </c>
      <c r="E111" s="55"/>
      <c r="F111" s="43"/>
      <c r="G111" s="18"/>
      <c r="H111" s="18"/>
      <c r="I111" s="306"/>
      <c r="J111" s="295"/>
      <c r="K111" s="295">
        <v>21470</v>
      </c>
      <c r="L111" s="318"/>
    </row>
    <row r="112" spans="1:12" ht="15">
      <c r="A112" s="616"/>
      <c r="B112" s="17">
        <v>85214</v>
      </c>
      <c r="C112" s="35"/>
      <c r="D112" s="15" t="s">
        <v>201</v>
      </c>
      <c r="E112" s="52">
        <f>E113</f>
        <v>525700</v>
      </c>
      <c r="F112" s="53">
        <f aca="true" t="shared" si="23" ref="F112:K112">F113+F114</f>
        <v>386500</v>
      </c>
      <c r="G112" s="16">
        <f t="shared" si="23"/>
        <v>561800</v>
      </c>
      <c r="H112" s="16">
        <f t="shared" si="23"/>
        <v>767100</v>
      </c>
      <c r="I112" s="305">
        <f t="shared" si="23"/>
        <v>1017000</v>
      </c>
      <c r="J112" s="322">
        <f t="shared" si="23"/>
        <v>658100</v>
      </c>
      <c r="K112" s="322">
        <f t="shared" si="23"/>
        <v>409400</v>
      </c>
      <c r="L112" s="318">
        <f t="shared" si="18"/>
        <v>-248700</v>
      </c>
    </row>
    <row r="113" spans="1:14" ht="13.5">
      <c r="A113" s="616"/>
      <c r="B113" s="17"/>
      <c r="C113" s="35" t="s">
        <v>163</v>
      </c>
      <c r="D113" s="17" t="s">
        <v>228</v>
      </c>
      <c r="E113" s="55">
        <v>525700</v>
      </c>
      <c r="F113" s="43">
        <v>237700</v>
      </c>
      <c r="G113" s="18">
        <v>206800</v>
      </c>
      <c r="H113" s="18">
        <v>183400</v>
      </c>
      <c r="I113" s="306">
        <v>259000</v>
      </c>
      <c r="J113" s="295">
        <v>213900</v>
      </c>
      <c r="K113" s="295"/>
      <c r="L113" s="318">
        <f t="shared" si="18"/>
        <v>-213900</v>
      </c>
      <c r="N113" s="193">
        <f>J126+J119+J114</f>
        <v>1069200</v>
      </c>
    </row>
    <row r="114" spans="1:12" ht="13.5">
      <c r="A114" s="616"/>
      <c r="B114" s="17"/>
      <c r="C114" s="35" t="s">
        <v>208</v>
      </c>
      <c r="D114" s="17" t="s">
        <v>59</v>
      </c>
      <c r="E114" s="55"/>
      <c r="F114" s="43">
        <v>148800</v>
      </c>
      <c r="G114" s="18">
        <v>355000</v>
      </c>
      <c r="H114" s="18">
        <v>583700</v>
      </c>
      <c r="I114" s="306">
        <v>758000</v>
      </c>
      <c r="J114" s="295">
        <v>444200</v>
      </c>
      <c r="K114" s="295">
        <v>409400</v>
      </c>
      <c r="L114" s="318">
        <f t="shared" si="18"/>
        <v>-34800</v>
      </c>
    </row>
    <row r="115" spans="1:12" ht="15">
      <c r="A115" s="616"/>
      <c r="B115" s="17">
        <v>85216</v>
      </c>
      <c r="C115" s="35"/>
      <c r="D115" s="15" t="s">
        <v>465</v>
      </c>
      <c r="E115" s="52">
        <f aca="true" t="shared" si="24" ref="E115:K115">E116</f>
        <v>15000</v>
      </c>
      <c r="F115" s="53">
        <f t="shared" si="24"/>
        <v>0</v>
      </c>
      <c r="G115" s="16">
        <f t="shared" si="24"/>
        <v>0</v>
      </c>
      <c r="H115" s="16">
        <f t="shared" si="24"/>
        <v>0</v>
      </c>
      <c r="I115" s="305">
        <f t="shared" si="24"/>
        <v>0</v>
      </c>
      <c r="J115" s="322">
        <f t="shared" si="24"/>
        <v>0</v>
      </c>
      <c r="K115" s="322">
        <f t="shared" si="24"/>
        <v>195600</v>
      </c>
      <c r="L115" s="318">
        <f t="shared" si="18"/>
        <v>195600</v>
      </c>
    </row>
    <row r="116" spans="1:12" ht="13.5">
      <c r="A116" s="616"/>
      <c r="B116" s="17"/>
      <c r="C116" s="35" t="s">
        <v>208</v>
      </c>
      <c r="D116" s="17" t="s">
        <v>228</v>
      </c>
      <c r="E116" s="55">
        <v>15000</v>
      </c>
      <c r="F116" s="43"/>
      <c r="G116" s="18"/>
      <c r="H116" s="18"/>
      <c r="I116" s="306"/>
      <c r="J116" s="295"/>
      <c r="K116" s="295">
        <v>195600</v>
      </c>
      <c r="L116" s="318">
        <f t="shared" si="18"/>
        <v>195600</v>
      </c>
    </row>
    <row r="117" spans="1:12" ht="15">
      <c r="A117" s="616"/>
      <c r="B117" s="17">
        <v>85219</v>
      </c>
      <c r="C117" s="35"/>
      <c r="D117" s="15" t="s">
        <v>112</v>
      </c>
      <c r="E117" s="52">
        <f>E118</f>
        <v>215000</v>
      </c>
      <c r="F117" s="53">
        <f>F118+F119</f>
        <v>219000</v>
      </c>
      <c r="G117" s="16">
        <f>G118+G119</f>
        <v>224000</v>
      </c>
      <c r="H117" s="16">
        <f>H118+H119</f>
        <v>239500</v>
      </c>
      <c r="I117" s="305">
        <f>I118+I119</f>
        <v>243000</v>
      </c>
      <c r="J117" s="322">
        <f>J118+J119</f>
        <v>246000</v>
      </c>
      <c r="K117" s="322">
        <f>K118+K119+K120+K121</f>
        <v>498592</v>
      </c>
      <c r="L117" s="318">
        <f t="shared" si="18"/>
        <v>252592</v>
      </c>
    </row>
    <row r="118" spans="1:12" ht="13.5">
      <c r="A118" s="616"/>
      <c r="B118" s="17"/>
      <c r="C118" s="35" t="s">
        <v>163</v>
      </c>
      <c r="D118" s="17" t="s">
        <v>228</v>
      </c>
      <c r="E118" s="55">
        <v>215000</v>
      </c>
      <c r="F118" s="43"/>
      <c r="G118" s="18"/>
      <c r="H118" s="18"/>
      <c r="I118" s="306"/>
      <c r="J118" s="295"/>
      <c r="K118" s="295"/>
      <c r="L118" s="318">
        <f t="shared" si="18"/>
        <v>0</v>
      </c>
    </row>
    <row r="119" spans="1:12" ht="13.5">
      <c r="A119" s="616"/>
      <c r="B119" s="17"/>
      <c r="C119" s="35" t="s">
        <v>208</v>
      </c>
      <c r="D119" s="17" t="s">
        <v>59</v>
      </c>
      <c r="E119" s="55"/>
      <c r="F119" s="43">
        <v>219000</v>
      </c>
      <c r="G119" s="18">
        <v>224000</v>
      </c>
      <c r="H119" s="18">
        <v>239500</v>
      </c>
      <c r="I119" s="306">
        <v>243000</v>
      </c>
      <c r="J119" s="295">
        <v>246000</v>
      </c>
      <c r="K119" s="295">
        <v>210000</v>
      </c>
      <c r="L119" s="318">
        <f t="shared" si="18"/>
        <v>-36000</v>
      </c>
    </row>
    <row r="120" spans="1:12" ht="13.5">
      <c r="A120" s="616"/>
      <c r="B120" s="17"/>
      <c r="C120" s="391" t="s">
        <v>452</v>
      </c>
      <c r="D120" s="379" t="s">
        <v>473</v>
      </c>
      <c r="E120" s="55"/>
      <c r="F120" s="43"/>
      <c r="G120" s="18"/>
      <c r="H120" s="18"/>
      <c r="I120" s="306"/>
      <c r="J120" s="387"/>
      <c r="K120" s="387">
        <v>288592</v>
      </c>
      <c r="L120" s="318"/>
    </row>
    <row r="121" spans="1:12" ht="13.5">
      <c r="A121" s="616"/>
      <c r="B121" s="17"/>
      <c r="C121" s="391" t="s">
        <v>453</v>
      </c>
      <c r="D121" s="379" t="s">
        <v>473</v>
      </c>
      <c r="E121" s="55"/>
      <c r="F121" s="43"/>
      <c r="G121" s="18"/>
      <c r="H121" s="18"/>
      <c r="I121" s="306"/>
      <c r="J121" s="387"/>
      <c r="K121" s="387"/>
      <c r="L121" s="318"/>
    </row>
    <row r="122" spans="1:12" ht="15">
      <c r="A122" s="616"/>
      <c r="B122" s="17">
        <v>85228</v>
      </c>
      <c r="C122" s="35"/>
      <c r="D122" s="15" t="s">
        <v>202</v>
      </c>
      <c r="E122" s="52">
        <f aca="true" t="shared" si="25" ref="E122:J122">E123+E124</f>
        <v>31915</v>
      </c>
      <c r="F122" s="53">
        <f t="shared" si="25"/>
        <v>36180</v>
      </c>
      <c r="G122" s="16">
        <f t="shared" si="25"/>
        <v>43705</v>
      </c>
      <c r="H122" s="16">
        <f t="shared" si="25"/>
        <v>71930</v>
      </c>
      <c r="I122" s="305">
        <f t="shared" si="25"/>
        <v>80860</v>
      </c>
      <c r="J122" s="322">
        <f t="shared" si="25"/>
        <v>90395</v>
      </c>
      <c r="K122" s="322">
        <f>K123+K124</f>
        <v>153475</v>
      </c>
      <c r="L122" s="318">
        <f t="shared" si="18"/>
        <v>63080</v>
      </c>
    </row>
    <row r="123" spans="1:12" ht="13.5">
      <c r="A123" s="616"/>
      <c r="B123" s="17"/>
      <c r="C123" s="35" t="s">
        <v>273</v>
      </c>
      <c r="D123" s="17"/>
      <c r="E123" s="55">
        <v>215</v>
      </c>
      <c r="F123" s="43">
        <f>3600*5%</f>
        <v>180</v>
      </c>
      <c r="G123" s="18">
        <v>205</v>
      </c>
      <c r="H123" s="18">
        <f>4600*5%</f>
        <v>230</v>
      </c>
      <c r="I123" s="306">
        <v>260</v>
      </c>
      <c r="J123" s="295">
        <f>5900*5%</f>
        <v>295</v>
      </c>
      <c r="K123" s="295">
        <f>9500*5%</f>
        <v>475</v>
      </c>
      <c r="L123" s="318">
        <f t="shared" si="18"/>
        <v>180</v>
      </c>
    </row>
    <row r="124" spans="1:12" ht="13.5">
      <c r="A124" s="616"/>
      <c r="B124" s="17"/>
      <c r="C124" s="35" t="s">
        <v>163</v>
      </c>
      <c r="D124" s="17" t="s">
        <v>228</v>
      </c>
      <c r="E124" s="55">
        <v>31700</v>
      </c>
      <c r="F124" s="43">
        <v>36000</v>
      </c>
      <c r="G124" s="18">
        <v>43500</v>
      </c>
      <c r="H124" s="18">
        <v>71700</v>
      </c>
      <c r="I124" s="306">
        <v>80600</v>
      </c>
      <c r="J124" s="295">
        <v>90100</v>
      </c>
      <c r="K124" s="295">
        <v>153000</v>
      </c>
      <c r="L124" s="318">
        <f t="shared" si="18"/>
        <v>62900</v>
      </c>
    </row>
    <row r="125" spans="1:12" ht="13.5">
      <c r="A125" s="616"/>
      <c r="B125" s="17">
        <v>85295</v>
      </c>
      <c r="C125" s="35"/>
      <c r="D125" s="17" t="s">
        <v>66</v>
      </c>
      <c r="E125" s="55"/>
      <c r="F125" s="43"/>
      <c r="G125" s="18">
        <f>G126</f>
        <v>120700</v>
      </c>
      <c r="H125" s="18">
        <f>H126</f>
        <v>135800</v>
      </c>
      <c r="I125" s="306">
        <f>I126</f>
        <v>200000</v>
      </c>
      <c r="J125" s="295">
        <f>J126</f>
        <v>379000</v>
      </c>
      <c r="K125" s="295"/>
      <c r="L125" s="318">
        <f t="shared" si="18"/>
        <v>-379000</v>
      </c>
    </row>
    <row r="126" spans="1:12" ht="13.5">
      <c r="A126" s="616"/>
      <c r="B126" s="17"/>
      <c r="C126" s="35" t="s">
        <v>208</v>
      </c>
      <c r="D126" s="17" t="s">
        <v>59</v>
      </c>
      <c r="E126" s="55"/>
      <c r="F126" s="43"/>
      <c r="G126" s="18">
        <v>120700</v>
      </c>
      <c r="H126" s="18">
        <v>135800</v>
      </c>
      <c r="I126" s="306">
        <v>200000</v>
      </c>
      <c r="J126" s="295">
        <v>379000</v>
      </c>
      <c r="K126" s="295"/>
      <c r="L126" s="318">
        <f t="shared" si="18"/>
        <v>-379000</v>
      </c>
    </row>
    <row r="127" spans="1:12" ht="13.5">
      <c r="A127" s="113">
        <v>853</v>
      </c>
      <c r="B127" s="22"/>
      <c r="C127" s="34"/>
      <c r="D127" s="22"/>
      <c r="E127" s="108"/>
      <c r="F127" s="107"/>
      <c r="G127" s="29"/>
      <c r="H127" s="24" t="e">
        <f>H128</f>
        <v>#REF!</v>
      </c>
      <c r="I127" s="308">
        <f>I128</f>
        <v>319921.45</v>
      </c>
      <c r="J127" s="323">
        <f>J128</f>
        <v>0</v>
      </c>
      <c r="K127" s="323">
        <f>K128</f>
        <v>0</v>
      </c>
      <c r="L127" s="318">
        <f t="shared" si="18"/>
        <v>0</v>
      </c>
    </row>
    <row r="128" spans="1:12" ht="13.5">
      <c r="A128" s="114"/>
      <c r="B128" s="17">
        <v>85395</v>
      </c>
      <c r="C128" s="35"/>
      <c r="D128" s="17"/>
      <c r="E128" s="55"/>
      <c r="F128" s="43"/>
      <c r="G128" s="18"/>
      <c r="H128" s="18" t="e">
        <f>H129+#REF!</f>
        <v>#REF!</v>
      </c>
      <c r="I128" s="306">
        <f>I129</f>
        <v>319921.45</v>
      </c>
      <c r="J128" s="295">
        <f>J129</f>
        <v>0</v>
      </c>
      <c r="K128" s="295">
        <f>K129</f>
        <v>0</v>
      </c>
      <c r="L128" s="318">
        <f t="shared" si="18"/>
        <v>0</v>
      </c>
    </row>
    <row r="129" spans="1:12" ht="13.5">
      <c r="A129" s="114"/>
      <c r="B129" s="17"/>
      <c r="C129" s="35"/>
      <c r="D129" s="17"/>
      <c r="E129" s="55"/>
      <c r="F129" s="43"/>
      <c r="G129" s="18"/>
      <c r="H129" s="18">
        <v>100334</v>
      </c>
      <c r="I129" s="306">
        <v>319921.45</v>
      </c>
      <c r="J129" s="295"/>
      <c r="K129" s="295"/>
      <c r="L129" s="318">
        <f t="shared" si="18"/>
        <v>0</v>
      </c>
    </row>
    <row r="130" spans="1:12" ht="13.5">
      <c r="A130" s="613">
        <v>900</v>
      </c>
      <c r="B130" s="22"/>
      <c r="C130" s="34"/>
      <c r="D130" s="13" t="s">
        <v>54</v>
      </c>
      <c r="E130" s="51">
        <f aca="true" t="shared" si="26" ref="E130:J130">E131</f>
        <v>1000</v>
      </c>
      <c r="F130" s="51">
        <f t="shared" si="26"/>
        <v>2000</v>
      </c>
      <c r="G130" s="51">
        <f t="shared" si="26"/>
        <v>4000</v>
      </c>
      <c r="H130" s="51">
        <f t="shared" si="26"/>
        <v>2931879</v>
      </c>
      <c r="I130" s="371">
        <f t="shared" si="26"/>
        <v>2000</v>
      </c>
      <c r="J130" s="324">
        <f t="shared" si="26"/>
        <v>2200</v>
      </c>
      <c r="K130" s="323">
        <f>K131+K135</f>
        <v>1698668.98</v>
      </c>
      <c r="L130" s="318">
        <f t="shared" si="18"/>
        <v>1696468.98</v>
      </c>
    </row>
    <row r="131" spans="1:12" ht="15">
      <c r="A131" s="612"/>
      <c r="B131" s="17">
        <v>90002</v>
      </c>
      <c r="C131" s="35"/>
      <c r="D131" s="59" t="s">
        <v>203</v>
      </c>
      <c r="E131" s="52">
        <f>E132</f>
        <v>1000</v>
      </c>
      <c r="F131" s="52">
        <f>F132</f>
        <v>2000</v>
      </c>
      <c r="G131" s="52">
        <f>G132+G133+G134</f>
        <v>4000</v>
      </c>
      <c r="H131" s="52">
        <f>H132+H133+H134</f>
        <v>2931879</v>
      </c>
      <c r="I131" s="370">
        <f>I132+I133+I134</f>
        <v>2000</v>
      </c>
      <c r="J131" s="326">
        <f>J132+J133+J134</f>
        <v>2200</v>
      </c>
      <c r="K131" s="322">
        <f>K132+K133+K134</f>
        <v>2500</v>
      </c>
      <c r="L131" s="318">
        <f t="shared" si="18"/>
        <v>300</v>
      </c>
    </row>
    <row r="132" spans="1:12" ht="13.5">
      <c r="A132" s="612"/>
      <c r="B132" s="17"/>
      <c r="C132" s="35" t="s">
        <v>204</v>
      </c>
      <c r="D132" s="54" t="s">
        <v>205</v>
      </c>
      <c r="E132" s="55">
        <v>1000</v>
      </c>
      <c r="F132" s="55">
        <v>2000</v>
      </c>
      <c r="G132" s="55">
        <v>4000</v>
      </c>
      <c r="H132" s="55">
        <v>2000</v>
      </c>
      <c r="I132" s="366">
        <v>2000</v>
      </c>
      <c r="J132" s="300">
        <v>2200</v>
      </c>
      <c r="K132" s="295">
        <v>2500</v>
      </c>
      <c r="L132" s="318">
        <f t="shared" si="18"/>
        <v>300</v>
      </c>
    </row>
    <row r="133" spans="1:12" ht="13.5">
      <c r="A133" s="30"/>
      <c r="B133" s="17"/>
      <c r="C133" s="35" t="s">
        <v>236</v>
      </c>
      <c r="D133" s="54" t="s">
        <v>237</v>
      </c>
      <c r="E133" s="55"/>
      <c r="F133" s="55"/>
      <c r="G133" s="55"/>
      <c r="H133" s="55">
        <v>1077544</v>
      </c>
      <c r="I133" s="366"/>
      <c r="J133" s="300"/>
      <c r="K133" s="295"/>
      <c r="L133" s="318">
        <f t="shared" si="18"/>
        <v>0</v>
      </c>
    </row>
    <row r="134" spans="1:12" ht="13.5">
      <c r="A134" s="30"/>
      <c r="B134" s="17"/>
      <c r="C134" s="35" t="s">
        <v>162</v>
      </c>
      <c r="D134" s="17" t="s">
        <v>227</v>
      </c>
      <c r="E134" s="55"/>
      <c r="F134" s="55"/>
      <c r="G134" s="55"/>
      <c r="H134" s="55">
        <v>1852335</v>
      </c>
      <c r="I134" s="366"/>
      <c r="J134" s="300"/>
      <c r="K134" s="295"/>
      <c r="L134" s="318">
        <f t="shared" si="18"/>
        <v>0</v>
      </c>
    </row>
    <row r="135" spans="1:12" ht="13.5">
      <c r="A135" s="30"/>
      <c r="B135" s="17">
        <v>90095</v>
      </c>
      <c r="C135" s="35"/>
      <c r="D135" s="17" t="s">
        <v>463</v>
      </c>
      <c r="E135" s="55"/>
      <c r="F135" s="55"/>
      <c r="G135" s="55"/>
      <c r="H135" s="55"/>
      <c r="I135" s="366"/>
      <c r="J135" s="300"/>
      <c r="K135" s="295">
        <f>K136</f>
        <v>1696168.98</v>
      </c>
      <c r="L135" s="318"/>
    </row>
    <row r="136" spans="1:12" ht="13.5">
      <c r="A136" s="32"/>
      <c r="B136" s="20"/>
      <c r="C136" s="372" t="s">
        <v>461</v>
      </c>
      <c r="D136" s="373" t="s">
        <v>472</v>
      </c>
      <c r="E136" s="388"/>
      <c r="F136" s="388"/>
      <c r="G136" s="388"/>
      <c r="H136" s="388"/>
      <c r="I136" s="390"/>
      <c r="J136" s="376"/>
      <c r="K136" s="377">
        <v>1696168.98</v>
      </c>
      <c r="L136" s="318"/>
    </row>
    <row r="137" spans="1:12" ht="13.5">
      <c r="A137" s="611">
        <v>921</v>
      </c>
      <c r="B137" s="62"/>
      <c r="C137" s="23"/>
      <c r="D137" s="412" t="s">
        <v>55</v>
      </c>
      <c r="E137" s="60">
        <f>E143</f>
        <v>10000</v>
      </c>
      <c r="F137" s="61">
        <f>F143</f>
        <v>5000</v>
      </c>
      <c r="G137" s="60">
        <f>G143+G138+G140</f>
        <v>643937</v>
      </c>
      <c r="H137" s="60">
        <f>H143+H138+H140</f>
        <v>70199</v>
      </c>
      <c r="I137" s="314">
        <f>I143+I138+I140</f>
        <v>15000</v>
      </c>
      <c r="J137" s="328">
        <f>J143+J138+J140</f>
        <v>15000</v>
      </c>
      <c r="K137" s="328">
        <f>K143+K138+K140</f>
        <v>10000</v>
      </c>
      <c r="L137" s="318">
        <f t="shared" si="18"/>
        <v>-5000</v>
      </c>
    </row>
    <row r="138" spans="1:12" ht="13.5">
      <c r="A138" s="611"/>
      <c r="B138" s="62">
        <v>92109</v>
      </c>
      <c r="C138" s="26"/>
      <c r="D138" s="49" t="s">
        <v>98</v>
      </c>
      <c r="E138" s="60"/>
      <c r="F138" s="61"/>
      <c r="G138" s="43">
        <f>G139</f>
        <v>304918</v>
      </c>
      <c r="H138" s="43">
        <f>H139</f>
        <v>65199</v>
      </c>
      <c r="I138" s="309">
        <f>I139</f>
        <v>0</v>
      </c>
      <c r="J138" s="300">
        <f>J139</f>
        <v>0</v>
      </c>
      <c r="K138" s="300">
        <f>K139</f>
        <v>0</v>
      </c>
      <c r="L138" s="318">
        <f t="shared" si="18"/>
        <v>0</v>
      </c>
    </row>
    <row r="139" spans="1:12" ht="13.5">
      <c r="A139" s="611"/>
      <c r="B139" s="62"/>
      <c r="C139" s="26"/>
      <c r="D139" s="62" t="s">
        <v>227</v>
      </c>
      <c r="E139" s="60"/>
      <c r="F139" s="61"/>
      <c r="G139" s="43">
        <v>304918</v>
      </c>
      <c r="H139" s="43">
        <v>65199</v>
      </c>
      <c r="I139" s="309"/>
      <c r="J139" s="300"/>
      <c r="K139" s="300"/>
      <c r="L139" s="318">
        <f t="shared" si="18"/>
        <v>0</v>
      </c>
    </row>
    <row r="140" spans="1:12" ht="13.5">
      <c r="A140" s="611"/>
      <c r="B140" s="62">
        <v>92116</v>
      </c>
      <c r="C140" s="26"/>
      <c r="D140" s="49" t="s">
        <v>99</v>
      </c>
      <c r="E140" s="60"/>
      <c r="F140" s="61"/>
      <c r="G140" s="43">
        <f>G141</f>
        <v>334019</v>
      </c>
      <c r="H140" s="43">
        <f>H141</f>
        <v>0</v>
      </c>
      <c r="I140" s="309">
        <f>I141+I142</f>
        <v>10000</v>
      </c>
      <c r="J140" s="300">
        <f>J141+J142</f>
        <v>10000</v>
      </c>
      <c r="K140" s="300">
        <v>10000</v>
      </c>
      <c r="L140" s="318">
        <f t="shared" si="18"/>
        <v>0</v>
      </c>
    </row>
    <row r="141" spans="1:12" ht="13.5">
      <c r="A141" s="611"/>
      <c r="B141" s="62"/>
      <c r="C141" s="26" t="s">
        <v>226</v>
      </c>
      <c r="D141" s="62" t="s">
        <v>227</v>
      </c>
      <c r="E141" s="60"/>
      <c r="F141" s="61"/>
      <c r="G141" s="43">
        <v>334019</v>
      </c>
      <c r="H141" s="43"/>
      <c r="I141" s="309"/>
      <c r="J141" s="300"/>
      <c r="K141" s="300"/>
      <c r="L141" s="318">
        <f t="shared" si="18"/>
        <v>0</v>
      </c>
    </row>
    <row r="142" spans="1:12" ht="13.5">
      <c r="A142" s="611"/>
      <c r="B142" s="62"/>
      <c r="C142" s="26" t="s">
        <v>327</v>
      </c>
      <c r="D142" s="62" t="s">
        <v>328</v>
      </c>
      <c r="E142" s="60"/>
      <c r="F142" s="61"/>
      <c r="G142" s="43"/>
      <c r="H142" s="43"/>
      <c r="I142" s="309">
        <v>10000</v>
      </c>
      <c r="J142" s="300">
        <v>10000</v>
      </c>
      <c r="K142" s="300"/>
      <c r="L142" s="318">
        <f t="shared" si="18"/>
        <v>-10000</v>
      </c>
    </row>
    <row r="143" spans="1:12" ht="15">
      <c r="A143" s="611"/>
      <c r="B143" s="62">
        <v>92195</v>
      </c>
      <c r="C143" s="26"/>
      <c r="D143" s="49" t="s">
        <v>66</v>
      </c>
      <c r="E143" s="53">
        <f aca="true" t="shared" si="27" ref="E143:J143">E146</f>
        <v>10000</v>
      </c>
      <c r="F143" s="52">
        <f t="shared" si="27"/>
        <v>5000</v>
      </c>
      <c r="G143" s="53">
        <f t="shared" si="27"/>
        <v>5000</v>
      </c>
      <c r="H143" s="53">
        <f t="shared" si="27"/>
        <v>5000</v>
      </c>
      <c r="I143" s="313">
        <f t="shared" si="27"/>
        <v>5000</v>
      </c>
      <c r="J143" s="326">
        <f t="shared" si="27"/>
        <v>5000</v>
      </c>
      <c r="K143" s="326">
        <f>K146+K144+K145</f>
        <v>0</v>
      </c>
      <c r="L143" s="318">
        <f t="shared" si="18"/>
        <v>-5000</v>
      </c>
    </row>
    <row r="144" spans="1:12" ht="13.5">
      <c r="A144" s="611"/>
      <c r="B144" s="62"/>
      <c r="C144" s="26" t="s">
        <v>156</v>
      </c>
      <c r="D144" s="62" t="s">
        <v>492</v>
      </c>
      <c r="E144" s="43"/>
      <c r="F144" s="55"/>
      <c r="G144" s="43"/>
      <c r="H144" s="43"/>
      <c r="I144" s="309"/>
      <c r="J144" s="300"/>
      <c r="K144" s="300"/>
      <c r="L144" s="318"/>
    </row>
    <row r="145" spans="1:12" ht="13.5">
      <c r="A145" s="611"/>
      <c r="B145" s="62"/>
      <c r="C145" s="26" t="s">
        <v>153</v>
      </c>
      <c r="D145" s="62" t="s">
        <v>492</v>
      </c>
      <c r="E145" s="43"/>
      <c r="F145" s="55"/>
      <c r="G145" s="43"/>
      <c r="H145" s="43"/>
      <c r="I145" s="309"/>
      <c r="J145" s="300"/>
      <c r="K145" s="300"/>
      <c r="L145" s="318"/>
    </row>
    <row r="146" spans="1:12" ht="14.25" customHeight="1">
      <c r="A146" s="611"/>
      <c r="B146" s="62"/>
      <c r="C146" s="413" t="s">
        <v>206</v>
      </c>
      <c r="D146" s="62" t="s">
        <v>235</v>
      </c>
      <c r="E146" s="43">
        <v>10000</v>
      </c>
      <c r="F146" s="55">
        <v>5000</v>
      </c>
      <c r="G146" s="43">
        <v>5000</v>
      </c>
      <c r="H146" s="43">
        <v>5000</v>
      </c>
      <c r="I146" s="309">
        <v>5000</v>
      </c>
      <c r="J146" s="300">
        <v>5000</v>
      </c>
      <c r="K146" s="300"/>
      <c r="L146" s="318">
        <f t="shared" si="18"/>
        <v>-5000</v>
      </c>
    </row>
    <row r="147" spans="1:12" ht="14.25" customHeight="1">
      <c r="A147" s="27">
        <v>926</v>
      </c>
      <c r="B147" s="22"/>
      <c r="C147" s="34"/>
      <c r="D147" s="13" t="s">
        <v>100</v>
      </c>
      <c r="E147" s="108"/>
      <c r="F147" s="107"/>
      <c r="G147" s="29">
        <f>G148</f>
        <v>37000</v>
      </c>
      <c r="H147" s="29">
        <f>H148</f>
        <v>0</v>
      </c>
      <c r="I147" s="315">
        <f>I148</f>
        <v>0</v>
      </c>
      <c r="J147" s="299">
        <f>J148</f>
        <v>0</v>
      </c>
      <c r="K147" s="299">
        <f>K148</f>
        <v>3310731.88</v>
      </c>
      <c r="L147" s="318">
        <f t="shared" si="18"/>
        <v>3310731.88</v>
      </c>
    </row>
    <row r="148" spans="1:12" ht="14.25" customHeight="1">
      <c r="A148" s="30"/>
      <c r="B148" s="17">
        <v>92605</v>
      </c>
      <c r="C148" s="35"/>
      <c r="D148" s="17" t="s">
        <v>263</v>
      </c>
      <c r="E148" s="55"/>
      <c r="F148" s="43"/>
      <c r="G148" s="18">
        <f>G150</f>
        <v>37000</v>
      </c>
      <c r="H148" s="18">
        <f>H150</f>
        <v>0</v>
      </c>
      <c r="I148" s="306">
        <f>I150</f>
        <v>0</v>
      </c>
      <c r="J148" s="295">
        <f>J150</f>
        <v>0</v>
      </c>
      <c r="K148" s="295">
        <f>K149+K150</f>
        <v>3310731.88</v>
      </c>
      <c r="L148" s="318">
        <f>K148-J148</f>
        <v>3310731.88</v>
      </c>
    </row>
    <row r="149" spans="1:12" ht="14.25" customHeight="1">
      <c r="A149" s="30"/>
      <c r="B149" s="17"/>
      <c r="C149" s="378" t="s">
        <v>461</v>
      </c>
      <c r="D149" s="379" t="s">
        <v>470</v>
      </c>
      <c r="E149" s="380"/>
      <c r="F149" s="384"/>
      <c r="G149" s="385"/>
      <c r="H149" s="385"/>
      <c r="I149" s="386"/>
      <c r="J149" s="387"/>
      <c r="K149" s="387">
        <v>1885518.38</v>
      </c>
      <c r="L149" s="318">
        <f>K149-J149</f>
        <v>1885518.38</v>
      </c>
    </row>
    <row r="150" spans="1:12" ht="14.25" customHeight="1">
      <c r="A150" s="32"/>
      <c r="B150" s="20"/>
      <c r="C150" s="372" t="s">
        <v>461</v>
      </c>
      <c r="D150" s="373" t="s">
        <v>471</v>
      </c>
      <c r="E150" s="388"/>
      <c r="F150" s="389"/>
      <c r="G150" s="374">
        <v>37000</v>
      </c>
      <c r="H150" s="374"/>
      <c r="I150" s="375"/>
      <c r="J150" s="377"/>
      <c r="K150" s="377">
        <v>1425213.5</v>
      </c>
      <c r="L150" s="318">
        <f>K150-J150</f>
        <v>1425213.5</v>
      </c>
    </row>
    <row r="151" spans="1:12" ht="13.5">
      <c r="A151" s="20"/>
      <c r="B151" s="58"/>
      <c r="C151" s="19"/>
      <c r="D151" s="58" t="s">
        <v>56</v>
      </c>
      <c r="E151" s="63" t="e">
        <f>E137+E130+E99+E86+E77+E47+E41+E32+E29+E22+E11+E4+E44</f>
        <v>#REF!</v>
      </c>
      <c r="F151" s="63" t="e">
        <f>F137+F130+F99+F86+F77+F47+F41+F32+F29+F22+F11+F4+F44</f>
        <v>#REF!</v>
      </c>
      <c r="G151" s="63" t="e">
        <f>G137+G130+G99+G86+G77+G47+G41+G32+G29+G22+G11+G4+G44+G17+G147</f>
        <v>#REF!</v>
      </c>
      <c r="H151" s="63" t="e">
        <f>H137+H130+H99+H86+H77+H47+H41+H32+H29+H22+H11+H4+H44+H17+H147+H127</f>
        <v>#REF!</v>
      </c>
      <c r="I151" s="316">
        <f>I137+I130+I99+I86+I77+I47+I41+I32+I29+I22+I11+I4+I44+I17+I147+I127</f>
        <v>36910888.6</v>
      </c>
      <c r="J151" s="329">
        <f>J137+J130+J99+J86+J77+J47+J41+J32+J29+J22+J11+J4+J44+J17+J147+J127</f>
        <v>42949786.94</v>
      </c>
      <c r="K151" s="329">
        <f>K137+K130+K99+K86+K77+K47+K41+K32+K29+K22+K11+K4+K44+K17+K147+K127+K8</f>
        <v>49564341.58</v>
      </c>
      <c r="L151" s="318">
        <f aca="true" t="shared" si="28" ref="L151:L162">K151-J151</f>
        <v>6614554.64</v>
      </c>
    </row>
    <row r="152" ht="13.5">
      <c r="L152" s="318">
        <f t="shared" si="28"/>
        <v>0</v>
      </c>
    </row>
    <row r="153" spans="4:12" ht="13.5">
      <c r="D153" s="3" t="s">
        <v>217</v>
      </c>
      <c r="E153" s="5">
        <f aca="true" t="shared" si="29" ref="E153:K153">E5+E12+E29+E34+E37+E57+E69+E73+E98+E123+E132+E86</f>
        <v>1059715</v>
      </c>
      <c r="F153" s="5">
        <f t="shared" si="29"/>
        <v>985680</v>
      </c>
      <c r="G153" s="5">
        <f t="shared" si="29"/>
        <v>981705</v>
      </c>
      <c r="H153" s="5">
        <f t="shared" si="29"/>
        <v>933230</v>
      </c>
      <c r="I153" s="302">
        <f t="shared" si="29"/>
        <v>2126355.15</v>
      </c>
      <c r="J153" s="319">
        <f t="shared" si="29"/>
        <v>2593198.94</v>
      </c>
      <c r="K153" s="319">
        <f t="shared" si="29"/>
        <v>1309817.34</v>
      </c>
      <c r="L153" s="318">
        <f t="shared" si="28"/>
        <v>-1283381.6</v>
      </c>
    </row>
    <row r="154" spans="4:12" ht="13.5">
      <c r="D154" s="3" t="s">
        <v>218</v>
      </c>
      <c r="E154" s="5">
        <f aca="true" t="shared" si="30" ref="E154:K154">E43+E35+E101+E108+E110+E113+E124</f>
        <v>1017620</v>
      </c>
      <c r="F154" s="5">
        <f t="shared" si="30"/>
        <v>4503509</v>
      </c>
      <c r="G154" s="5">
        <f t="shared" si="30"/>
        <v>5797747</v>
      </c>
      <c r="H154" s="5">
        <f t="shared" si="30"/>
        <v>6608539</v>
      </c>
      <c r="I154" s="302">
        <f t="shared" si="30"/>
        <v>6566873</v>
      </c>
      <c r="J154" s="319">
        <f t="shared" si="30"/>
        <v>6114994</v>
      </c>
      <c r="K154" s="319">
        <f t="shared" si="30"/>
        <v>6258982</v>
      </c>
      <c r="L154" s="318">
        <f t="shared" si="28"/>
        <v>143988</v>
      </c>
    </row>
    <row r="155" spans="4:12" ht="13.5">
      <c r="D155" s="3" t="s">
        <v>219</v>
      </c>
      <c r="E155" s="5">
        <f aca="true" t="shared" si="31" ref="E155:J155">E114+E119+E126</f>
        <v>0</v>
      </c>
      <c r="F155" s="5">
        <f t="shared" si="31"/>
        <v>367800</v>
      </c>
      <c r="G155" s="5">
        <f t="shared" si="31"/>
        <v>699700</v>
      </c>
      <c r="H155" s="5">
        <f t="shared" si="31"/>
        <v>959000</v>
      </c>
      <c r="I155" s="302">
        <f t="shared" si="31"/>
        <v>1201000</v>
      </c>
      <c r="J155" s="319">
        <f t="shared" si="31"/>
        <v>1069200</v>
      </c>
      <c r="K155" s="319">
        <f>K114+K119+K126+K36+K111+K116</f>
        <v>836903</v>
      </c>
      <c r="L155" s="318">
        <f t="shared" si="28"/>
        <v>-232297</v>
      </c>
    </row>
    <row r="156" spans="4:12" ht="13.5">
      <c r="D156" s="3" t="s">
        <v>225</v>
      </c>
      <c r="E156" s="5">
        <f aca="true" t="shared" si="32" ref="E156:J156">E79+E81+E82</f>
        <v>12638216</v>
      </c>
      <c r="F156" s="5">
        <f t="shared" si="32"/>
        <v>12308142</v>
      </c>
      <c r="G156" s="5">
        <f t="shared" si="32"/>
        <v>13514423</v>
      </c>
      <c r="H156" s="5">
        <f t="shared" si="32"/>
        <v>14528154</v>
      </c>
      <c r="I156" s="302">
        <f t="shared" si="32"/>
        <v>14828966</v>
      </c>
      <c r="J156" s="319">
        <f t="shared" si="32"/>
        <v>17988041</v>
      </c>
      <c r="K156" s="319">
        <f>K79+K81+K82</f>
        <v>18716070</v>
      </c>
      <c r="L156" s="318">
        <f t="shared" si="28"/>
        <v>728029</v>
      </c>
    </row>
    <row r="157" ht="13.5">
      <c r="L157" s="318">
        <f t="shared" si="28"/>
        <v>0</v>
      </c>
    </row>
    <row r="158" ht="13.5">
      <c r="L158" s="318">
        <f t="shared" si="28"/>
        <v>0</v>
      </c>
    </row>
    <row r="159" ht="13.5">
      <c r="L159" s="318">
        <f t="shared" si="28"/>
        <v>0</v>
      </c>
    </row>
    <row r="160" spans="6:12" ht="13.5">
      <c r="F160" s="5" t="s">
        <v>270</v>
      </c>
      <c r="G160" s="5" t="e">
        <f>G151*20%</f>
        <v>#REF!</v>
      </c>
      <c r="H160" s="5" t="e">
        <f>H151*20%</f>
        <v>#REF!</v>
      </c>
      <c r="I160" s="302">
        <f>I151*20%</f>
        <v>7382177.72</v>
      </c>
      <c r="J160" s="319">
        <f>J151*20%</f>
        <v>8589957.39</v>
      </c>
      <c r="K160" s="319">
        <f>K151*20%</f>
        <v>9912868.32</v>
      </c>
      <c r="L160" s="318">
        <f t="shared" si="28"/>
        <v>1322910.93</v>
      </c>
    </row>
    <row r="161" ht="13.5">
      <c r="L161" s="318">
        <f t="shared" si="28"/>
        <v>0</v>
      </c>
    </row>
    <row r="162" ht="13.5">
      <c r="L162" s="318">
        <f t="shared" si="28"/>
        <v>0</v>
      </c>
    </row>
  </sheetData>
  <mergeCells count="11">
    <mergeCell ref="A130:A132"/>
    <mergeCell ref="A137:A146"/>
    <mergeCell ref="A41:A43"/>
    <mergeCell ref="A44:A46"/>
    <mergeCell ref="A77:A85"/>
    <mergeCell ref="A86:A98"/>
    <mergeCell ref="A99:A126"/>
    <mergeCell ref="A4:A7"/>
    <mergeCell ref="A11:A14"/>
    <mergeCell ref="A22:A27"/>
    <mergeCell ref="A32:A39"/>
  </mergeCells>
  <printOptions/>
  <pageMargins left="0.29" right="0.31" top="0.32" bottom="0.38" header="0.24" footer="0.2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61"/>
  <sheetViews>
    <sheetView showGridLines="0" workbookViewId="0" topLeftCell="A118">
      <selection activeCell="D11" sqref="D11"/>
    </sheetView>
  </sheetViews>
  <sheetFormatPr defaultColWidth="9.00390625" defaultRowHeight="12.75" customHeight="1"/>
  <cols>
    <col min="1" max="1" width="9.125" style="112" customWidth="1"/>
    <col min="2" max="2" width="7.125" style="112" customWidth="1"/>
    <col min="3" max="3" width="44.625" style="112" customWidth="1"/>
    <col min="4" max="4" width="16.00390625" style="112" customWidth="1"/>
    <col min="5" max="5" width="7.625" style="112" customWidth="1"/>
    <col min="6" max="16384" width="9.125" style="112" customWidth="1"/>
  </cols>
  <sheetData>
    <row r="1" spans="2:5" ht="12.75" customHeight="1">
      <c r="B1" s="617" t="s">
        <v>145</v>
      </c>
      <c r="C1" s="617"/>
      <c r="D1" s="617"/>
      <c r="E1" s="110"/>
    </row>
    <row r="2" spans="2:5" ht="12.75" customHeight="1">
      <c r="B2" s="618" t="s">
        <v>323</v>
      </c>
      <c r="C2" s="618"/>
      <c r="D2" s="618"/>
      <c r="E2" s="110"/>
    </row>
    <row r="4" spans="2:5" s="84" customFormat="1" ht="12.75" customHeight="1">
      <c r="B4" s="147" t="s">
        <v>61</v>
      </c>
      <c r="C4" s="148" t="s">
        <v>63</v>
      </c>
      <c r="D4" s="146" t="s">
        <v>271</v>
      </c>
      <c r="E4" s="208" t="s">
        <v>321</v>
      </c>
    </row>
    <row r="5" spans="2:5" s="85" customFormat="1" ht="12.75" customHeight="1">
      <c r="B5" s="76">
        <v>801</v>
      </c>
      <c r="C5" s="28" t="s">
        <v>53</v>
      </c>
      <c r="D5" s="212" t="e">
        <f>D6+D8+D9+D10+D12+D11+D7</f>
        <v>#REF!</v>
      </c>
      <c r="E5" s="119" t="e">
        <f aca="true" t="shared" si="0" ref="E5:E28">D5/39394696.33%</f>
        <v>#REF!</v>
      </c>
    </row>
    <row r="6" spans="2:5" ht="12.75" customHeight="1">
      <c r="B6" s="71">
        <v>80101</v>
      </c>
      <c r="C6" s="31" t="s">
        <v>81</v>
      </c>
      <c r="D6" s="209" t="e">
        <f>#REF!-502653.8</f>
        <v>#REF!</v>
      </c>
      <c r="E6" s="111" t="e">
        <f t="shared" si="0"/>
        <v>#REF!</v>
      </c>
    </row>
    <row r="7" spans="2:5" s="85" customFormat="1" ht="12.75" customHeight="1">
      <c r="B7" s="71">
        <v>80103</v>
      </c>
      <c r="C7" s="31" t="s">
        <v>240</v>
      </c>
      <c r="D7" s="210" t="e">
        <f>#REF!</f>
        <v>#REF!</v>
      </c>
      <c r="E7" s="111" t="e">
        <f t="shared" si="0"/>
        <v>#REF!</v>
      </c>
    </row>
    <row r="8" spans="2:5" ht="12.75" customHeight="1">
      <c r="B8" s="71">
        <v>80104</v>
      </c>
      <c r="C8" s="31" t="s">
        <v>224</v>
      </c>
      <c r="D8" s="209" t="e">
        <f>#REF!</f>
        <v>#REF!</v>
      </c>
      <c r="E8" s="111" t="e">
        <f t="shared" si="0"/>
        <v>#REF!</v>
      </c>
    </row>
    <row r="9" spans="2:5" s="85" customFormat="1" ht="12.75" customHeight="1">
      <c r="B9" s="71">
        <v>80110</v>
      </c>
      <c r="C9" s="31" t="s">
        <v>82</v>
      </c>
      <c r="D9" s="209" t="e">
        <f>#REF!</f>
        <v>#REF!</v>
      </c>
      <c r="E9" s="111" t="e">
        <f t="shared" si="0"/>
        <v>#REF!</v>
      </c>
    </row>
    <row r="10" spans="2:5" ht="12.75" customHeight="1">
      <c r="B10" s="71">
        <v>80113</v>
      </c>
      <c r="C10" s="31" t="s">
        <v>83</v>
      </c>
      <c r="D10" s="209" t="e">
        <f>#REF!</f>
        <v>#REF!</v>
      </c>
      <c r="E10" s="111" t="e">
        <f t="shared" si="0"/>
        <v>#REF!</v>
      </c>
    </row>
    <row r="11" spans="2:5" ht="12.75" customHeight="1">
      <c r="B11" s="120">
        <v>80146</v>
      </c>
      <c r="C11" s="121" t="s">
        <v>109</v>
      </c>
      <c r="D11" s="211" t="e">
        <f>#REF!</f>
        <v>#REF!</v>
      </c>
      <c r="E11" s="111" t="e">
        <f t="shared" si="0"/>
        <v>#REF!</v>
      </c>
    </row>
    <row r="12" spans="2:5" s="85" customFormat="1" ht="12.75" customHeight="1">
      <c r="B12" s="77">
        <v>80195</v>
      </c>
      <c r="C12" s="87" t="s">
        <v>106</v>
      </c>
      <c r="D12" s="213" t="e">
        <f>#REF!</f>
        <v>#REF!</v>
      </c>
      <c r="E12" s="125" t="e">
        <f t="shared" si="0"/>
        <v>#REF!</v>
      </c>
    </row>
    <row r="13" spans="2:5" ht="12.75" customHeight="1">
      <c r="B13" s="76">
        <v>854</v>
      </c>
      <c r="C13" s="28" t="s">
        <v>91</v>
      </c>
      <c r="D13" s="142" t="e">
        <f>D14+D15+D16</f>
        <v>#REF!</v>
      </c>
      <c r="E13" s="119" t="e">
        <f t="shared" si="0"/>
        <v>#REF!</v>
      </c>
    </row>
    <row r="14" spans="2:5" s="85" customFormat="1" ht="12.75" customHeight="1">
      <c r="B14" s="71">
        <v>85401</v>
      </c>
      <c r="C14" s="31" t="s">
        <v>92</v>
      </c>
      <c r="D14" s="143" t="e">
        <f>#REF!</f>
        <v>#REF!</v>
      </c>
      <c r="E14" s="111" t="e">
        <f t="shared" si="0"/>
        <v>#REF!</v>
      </c>
    </row>
    <row r="15" spans="2:5" s="85" customFormat="1" ht="12.75" customHeight="1">
      <c r="B15" s="71">
        <v>85415</v>
      </c>
      <c r="C15" s="31" t="s">
        <v>274</v>
      </c>
      <c r="D15" s="138" t="e">
        <f>#REF!</f>
        <v>#REF!</v>
      </c>
      <c r="E15" s="111" t="e">
        <f t="shared" si="0"/>
        <v>#REF!</v>
      </c>
    </row>
    <row r="16" spans="2:5" ht="12.75" customHeight="1">
      <c r="B16" s="191">
        <v>85446</v>
      </c>
      <c r="C16" s="206" t="s">
        <v>109</v>
      </c>
      <c r="D16" s="207" t="e">
        <f>#REF!</f>
        <v>#REF!</v>
      </c>
      <c r="E16" s="125" t="e">
        <f t="shared" si="0"/>
        <v>#REF!</v>
      </c>
    </row>
    <row r="17" spans="2:5" s="85" customFormat="1" ht="12.75" customHeight="1">
      <c r="B17" s="79">
        <v>921</v>
      </c>
      <c r="C17" s="93" t="s">
        <v>55</v>
      </c>
      <c r="D17" s="127" t="e">
        <f>D18+D19+D20</f>
        <v>#REF!</v>
      </c>
      <c r="E17" s="119" t="e">
        <f t="shared" si="0"/>
        <v>#REF!</v>
      </c>
    </row>
    <row r="18" spans="2:5" ht="12.75" customHeight="1">
      <c r="B18" s="73">
        <v>92109</v>
      </c>
      <c r="C18" s="92" t="s">
        <v>98</v>
      </c>
      <c r="D18" s="141" t="e">
        <f>#REF!</f>
        <v>#REF!</v>
      </c>
      <c r="E18" s="111" t="e">
        <f t="shared" si="0"/>
        <v>#REF!</v>
      </c>
    </row>
    <row r="19" spans="2:5" s="85" customFormat="1" ht="12.75" customHeight="1">
      <c r="B19" s="73">
        <v>92116</v>
      </c>
      <c r="C19" s="92" t="s">
        <v>99</v>
      </c>
      <c r="D19" s="129" t="e">
        <f>#REF!</f>
        <v>#REF!</v>
      </c>
      <c r="E19" s="111" t="e">
        <f t="shared" si="0"/>
        <v>#REF!</v>
      </c>
    </row>
    <row r="20" spans="2:5" ht="12.75" customHeight="1">
      <c r="B20" s="73">
        <v>92195</v>
      </c>
      <c r="C20" s="92" t="s">
        <v>66</v>
      </c>
      <c r="D20" s="129" t="e">
        <f>#REF!</f>
        <v>#REF!</v>
      </c>
      <c r="E20" s="125" t="e">
        <f t="shared" si="0"/>
        <v>#REF!</v>
      </c>
    </row>
    <row r="21" spans="2:5" ht="12.75" customHeight="1">
      <c r="B21" s="76">
        <v>926</v>
      </c>
      <c r="C21" s="28" t="s">
        <v>100</v>
      </c>
      <c r="D21" s="142" t="e">
        <f>D22</f>
        <v>#REF!</v>
      </c>
      <c r="E21" s="119" t="e">
        <f t="shared" si="0"/>
        <v>#REF!</v>
      </c>
    </row>
    <row r="22" spans="2:5" s="85" customFormat="1" ht="12.75" customHeight="1">
      <c r="B22" s="77">
        <v>92605</v>
      </c>
      <c r="C22" s="87" t="s">
        <v>137</v>
      </c>
      <c r="D22" s="214" t="e">
        <f>#REF!-63000</f>
        <v>#REF!</v>
      </c>
      <c r="E22" s="125" t="e">
        <f t="shared" si="0"/>
        <v>#REF!</v>
      </c>
    </row>
    <row r="23" spans="2:5" s="85" customFormat="1" ht="12.75" customHeight="1">
      <c r="B23" s="79">
        <v>851</v>
      </c>
      <c r="C23" s="98" t="s">
        <v>84</v>
      </c>
      <c r="D23" s="128" t="e">
        <f>D24+D25</f>
        <v>#REF!</v>
      </c>
      <c r="E23" s="119" t="e">
        <f t="shared" si="0"/>
        <v>#REF!</v>
      </c>
    </row>
    <row r="24" spans="2:5" ht="12.75" customHeight="1">
      <c r="B24" s="73">
        <v>85153</v>
      </c>
      <c r="C24" s="96" t="s">
        <v>301</v>
      </c>
      <c r="D24" s="129" t="e">
        <f>#REF!</f>
        <v>#REF!</v>
      </c>
      <c r="E24" s="111" t="e">
        <f t="shared" si="0"/>
        <v>#REF!</v>
      </c>
    </row>
    <row r="25" spans="2:5" ht="12.75" customHeight="1">
      <c r="B25" s="78">
        <v>85154</v>
      </c>
      <c r="C25" s="99" t="s">
        <v>85</v>
      </c>
      <c r="D25" s="130" t="e">
        <f>#REF!</f>
        <v>#REF!</v>
      </c>
      <c r="E25" s="125" t="e">
        <f t="shared" si="0"/>
        <v>#REF!</v>
      </c>
    </row>
    <row r="26" spans="2:5" s="85" customFormat="1" ht="12.75" customHeight="1">
      <c r="B26" s="28">
        <v>630</v>
      </c>
      <c r="C26" s="93" t="s">
        <v>49</v>
      </c>
      <c r="D26" s="128" t="e">
        <f>D27</f>
        <v>#REF!</v>
      </c>
      <c r="E26" s="119" t="e">
        <f t="shared" si="0"/>
        <v>#REF!</v>
      </c>
    </row>
    <row r="27" spans="2:5" ht="12.75" customHeight="1">
      <c r="B27" s="31">
        <v>63001</v>
      </c>
      <c r="C27" s="92" t="s">
        <v>69</v>
      </c>
      <c r="D27" s="129" t="e">
        <f>#REF!</f>
        <v>#REF!</v>
      </c>
      <c r="E27" s="125" t="e">
        <f t="shared" si="0"/>
        <v>#REF!</v>
      </c>
    </row>
    <row r="28" spans="2:5" ht="12.75" customHeight="1">
      <c r="B28" s="215"/>
      <c r="C28" s="216" t="s">
        <v>56</v>
      </c>
      <c r="D28" s="217" t="e">
        <f>D5+D13+D17+D21+D23+D26</f>
        <v>#REF!</v>
      </c>
      <c r="E28" s="153" t="e">
        <f t="shared" si="0"/>
        <v>#REF!</v>
      </c>
    </row>
    <row r="30" spans="2:5" ht="12.75" customHeight="1">
      <c r="B30" s="147" t="s">
        <v>61</v>
      </c>
      <c r="C30" s="148" t="s">
        <v>63</v>
      </c>
      <c r="D30" s="146" t="s">
        <v>271</v>
      </c>
      <c r="E30" s="208" t="s">
        <v>321</v>
      </c>
    </row>
    <row r="31" spans="2:5" s="85" customFormat="1" ht="12.75" customHeight="1">
      <c r="B31" s="28">
        <v>852</v>
      </c>
      <c r="C31" s="28" t="s">
        <v>115</v>
      </c>
      <c r="D31" s="127" t="e">
        <f>D33+D35+D36+D37+D38+D39+D40+D34+D32</f>
        <v>#REF!</v>
      </c>
      <c r="E31" s="119" t="e">
        <f aca="true" t="shared" si="1" ref="E31:E43">D31/39394696.33%</f>
        <v>#REF!</v>
      </c>
    </row>
    <row r="32" spans="2:5" ht="12.75" customHeight="1">
      <c r="B32" s="31">
        <v>85202</v>
      </c>
      <c r="C32" s="31" t="s">
        <v>239</v>
      </c>
      <c r="D32" s="129" t="e">
        <f>#REF!</f>
        <v>#REF!</v>
      </c>
      <c r="E32" s="111" t="e">
        <f t="shared" si="1"/>
        <v>#REF!</v>
      </c>
    </row>
    <row r="33" spans="2:5" s="85" customFormat="1" ht="12.75" customHeight="1">
      <c r="B33" s="121">
        <v>85203</v>
      </c>
      <c r="C33" s="121" t="s">
        <v>86</v>
      </c>
      <c r="D33" s="145" t="e">
        <f>#REF!</f>
        <v>#REF!</v>
      </c>
      <c r="E33" s="111" t="e">
        <f t="shared" si="1"/>
        <v>#REF!</v>
      </c>
    </row>
    <row r="34" spans="2:5" ht="15" customHeight="1">
      <c r="B34" s="124">
        <v>85212</v>
      </c>
      <c r="C34" s="31" t="s">
        <v>210</v>
      </c>
      <c r="D34" s="140" t="e">
        <f>#REF!</f>
        <v>#REF!</v>
      </c>
      <c r="E34" s="111" t="e">
        <f t="shared" si="1"/>
        <v>#REF!</v>
      </c>
    </row>
    <row r="35" spans="2:5" ht="12.75" customHeight="1">
      <c r="B35" s="31">
        <v>85213</v>
      </c>
      <c r="C35" s="31" t="s">
        <v>87</v>
      </c>
      <c r="D35" s="129" t="e">
        <f>#REF!</f>
        <v>#REF!</v>
      </c>
      <c r="E35" s="111" t="e">
        <f t="shared" si="1"/>
        <v>#REF!</v>
      </c>
    </row>
    <row r="36" spans="2:5" ht="12.75" customHeight="1">
      <c r="B36" s="31">
        <v>85214</v>
      </c>
      <c r="C36" s="31" t="s">
        <v>101</v>
      </c>
      <c r="D36" s="129" t="e">
        <f>#REF!</f>
        <v>#REF!</v>
      </c>
      <c r="E36" s="111" t="e">
        <f t="shared" si="1"/>
        <v>#REF!</v>
      </c>
    </row>
    <row r="37" spans="2:5" s="85" customFormat="1" ht="12.75" customHeight="1">
      <c r="B37" s="31">
        <v>85215</v>
      </c>
      <c r="C37" s="31" t="s">
        <v>88</v>
      </c>
      <c r="D37" s="129" t="e">
        <f>#REF!</f>
        <v>#REF!</v>
      </c>
      <c r="E37" s="111" t="e">
        <f t="shared" si="1"/>
        <v>#REF!</v>
      </c>
    </row>
    <row r="38" spans="2:5" ht="12.75" customHeight="1">
      <c r="B38" s="31">
        <v>85219</v>
      </c>
      <c r="C38" s="31" t="s">
        <v>89</v>
      </c>
      <c r="D38" s="129" t="e">
        <f>#REF!</f>
        <v>#REF!</v>
      </c>
      <c r="E38" s="111" t="e">
        <f t="shared" si="1"/>
        <v>#REF!</v>
      </c>
    </row>
    <row r="39" spans="2:5" s="85" customFormat="1" ht="12.75" customHeight="1">
      <c r="B39" s="71">
        <v>85228</v>
      </c>
      <c r="C39" s="31" t="s">
        <v>90</v>
      </c>
      <c r="D39" s="133" t="e">
        <f>#REF!</f>
        <v>#REF!</v>
      </c>
      <c r="E39" s="111" t="e">
        <f t="shared" si="1"/>
        <v>#REF!</v>
      </c>
    </row>
    <row r="40" spans="2:5" ht="12.75" customHeight="1">
      <c r="B40" s="71">
        <v>85295</v>
      </c>
      <c r="C40" s="31" t="s">
        <v>66</v>
      </c>
      <c r="D40" s="133" t="e">
        <f>#REF!</f>
        <v>#REF!</v>
      </c>
      <c r="E40" s="125" t="e">
        <f t="shared" si="1"/>
        <v>#REF!</v>
      </c>
    </row>
    <row r="41" spans="2:5" s="85" customFormat="1" ht="12.75" customHeight="1">
      <c r="B41" s="76">
        <v>853</v>
      </c>
      <c r="C41" s="13" t="s">
        <v>284</v>
      </c>
      <c r="D41" s="139" t="e">
        <f>D42</f>
        <v>#REF!</v>
      </c>
      <c r="E41" s="119" t="e">
        <f t="shared" si="1"/>
        <v>#REF!</v>
      </c>
    </row>
    <row r="42" spans="2:5" s="85" customFormat="1" ht="12.75" customHeight="1">
      <c r="B42" s="71">
        <v>85395</v>
      </c>
      <c r="C42" s="31" t="s">
        <v>66</v>
      </c>
      <c r="D42" s="138" t="e">
        <f>#REF!</f>
        <v>#REF!</v>
      </c>
      <c r="E42" s="125" t="e">
        <f t="shared" si="1"/>
        <v>#REF!</v>
      </c>
    </row>
    <row r="43" spans="2:5" ht="12.75" customHeight="1">
      <c r="B43" s="215"/>
      <c r="C43" s="216" t="s">
        <v>56</v>
      </c>
      <c r="D43" s="217" t="e">
        <f>D31+D41</f>
        <v>#REF!</v>
      </c>
      <c r="E43" s="153" t="e">
        <f t="shared" si="1"/>
        <v>#REF!</v>
      </c>
    </row>
    <row r="45" spans="2:5" ht="12.75" customHeight="1">
      <c r="B45" s="147" t="s">
        <v>61</v>
      </c>
      <c r="C45" s="148" t="s">
        <v>63</v>
      </c>
      <c r="D45" s="146" t="s">
        <v>271</v>
      </c>
      <c r="E45" s="208" t="s">
        <v>321</v>
      </c>
    </row>
    <row r="46" spans="2:5" ht="12.75" customHeight="1">
      <c r="B46" s="76">
        <v>400</v>
      </c>
      <c r="C46" s="28" t="s">
        <v>107</v>
      </c>
      <c r="D46" s="128" t="e">
        <f>D48+D47</f>
        <v>#REF!</v>
      </c>
      <c r="E46" s="119" t="e">
        <f aca="true" t="shared" si="2" ref="E46:E60">D46/39394696.33%</f>
        <v>#REF!</v>
      </c>
    </row>
    <row r="47" spans="2:5" ht="12.75" customHeight="1">
      <c r="B47" s="71">
        <v>40002</v>
      </c>
      <c r="C47" s="31" t="s">
        <v>116</v>
      </c>
      <c r="D47" s="137" t="e">
        <f>#REF!-42000</f>
        <v>#REF!</v>
      </c>
      <c r="E47" s="111" t="e">
        <f t="shared" si="2"/>
        <v>#REF!</v>
      </c>
    </row>
    <row r="48" spans="2:5" ht="12.75" customHeight="1">
      <c r="B48" s="77">
        <v>40095</v>
      </c>
      <c r="C48" s="87" t="s">
        <v>66</v>
      </c>
      <c r="D48" s="135" t="e">
        <f>#REF!</f>
        <v>#REF!</v>
      </c>
      <c r="E48" s="125" t="e">
        <f t="shared" si="2"/>
        <v>#REF!</v>
      </c>
    </row>
    <row r="49" spans="2:5" ht="12.75" customHeight="1">
      <c r="B49" s="28">
        <v>600</v>
      </c>
      <c r="C49" s="28" t="s">
        <v>48</v>
      </c>
      <c r="D49" s="128" t="e">
        <f>D50</f>
        <v>#REF!</v>
      </c>
      <c r="E49" s="119" t="e">
        <f t="shared" si="2"/>
        <v>#REF!</v>
      </c>
    </row>
    <row r="50" spans="2:5" ht="12.75" customHeight="1">
      <c r="B50" s="31">
        <v>60016</v>
      </c>
      <c r="C50" s="31" t="s">
        <v>68</v>
      </c>
      <c r="D50" s="129" t="e">
        <f>#REF!-840000</f>
        <v>#REF!</v>
      </c>
      <c r="E50" s="125" t="e">
        <f t="shared" si="2"/>
        <v>#REF!</v>
      </c>
    </row>
    <row r="51" spans="2:5" ht="12.75" customHeight="1">
      <c r="B51" s="76">
        <v>700</v>
      </c>
      <c r="C51" s="28" t="s">
        <v>50</v>
      </c>
      <c r="D51" s="132" t="e">
        <f>D53+D52</f>
        <v>#REF!</v>
      </c>
      <c r="E51" s="119" t="e">
        <f t="shared" si="2"/>
        <v>#REF!</v>
      </c>
    </row>
    <row r="52" spans="2:5" ht="12.75" customHeight="1">
      <c r="B52" s="71">
        <v>70004</v>
      </c>
      <c r="C52" s="75" t="s">
        <v>146</v>
      </c>
      <c r="D52" s="133" t="e">
        <f>#REF!</f>
        <v>#REF!</v>
      </c>
      <c r="E52" s="111" t="e">
        <f t="shared" si="2"/>
        <v>#REF!</v>
      </c>
    </row>
    <row r="53" spans="2:5" ht="12.75" customHeight="1">
      <c r="B53" s="71">
        <v>70005</v>
      </c>
      <c r="C53" s="31" t="s">
        <v>70</v>
      </c>
      <c r="D53" s="133" t="e">
        <f>#REF!-210000</f>
        <v>#REF!</v>
      </c>
      <c r="E53" s="111" t="e">
        <f t="shared" si="2"/>
        <v>#REF!</v>
      </c>
    </row>
    <row r="54" spans="2:5" ht="12.75" customHeight="1">
      <c r="B54" s="76">
        <v>900</v>
      </c>
      <c r="C54" s="28" t="s">
        <v>54</v>
      </c>
      <c r="D54" s="127" t="e">
        <f>D55+D56+D57+D58+D59</f>
        <v>#REF!</v>
      </c>
      <c r="E54" s="119" t="e">
        <f t="shared" si="2"/>
        <v>#REF!</v>
      </c>
    </row>
    <row r="55" spans="2:5" ht="12.75" customHeight="1">
      <c r="B55" s="71">
        <v>90001</v>
      </c>
      <c r="C55" s="31" t="s">
        <v>93</v>
      </c>
      <c r="D55" s="141" t="e">
        <f>#REF!-60000</f>
        <v>#REF!</v>
      </c>
      <c r="E55" s="111" t="e">
        <f t="shared" si="2"/>
        <v>#REF!</v>
      </c>
    </row>
    <row r="56" spans="2:5" ht="12.75" customHeight="1">
      <c r="B56" s="71">
        <v>90003</v>
      </c>
      <c r="C56" s="31" t="s">
        <v>95</v>
      </c>
      <c r="D56" s="141" t="e">
        <f>#REF!</f>
        <v>#REF!</v>
      </c>
      <c r="E56" s="111" t="e">
        <f t="shared" si="2"/>
        <v>#REF!</v>
      </c>
    </row>
    <row r="57" spans="2:5" ht="12.75" customHeight="1">
      <c r="B57" s="71">
        <v>90004</v>
      </c>
      <c r="C57" s="31" t="s">
        <v>96</v>
      </c>
      <c r="D57" s="141" t="e">
        <f>#REF!</f>
        <v>#REF!</v>
      </c>
      <c r="E57" s="111" t="e">
        <f t="shared" si="2"/>
        <v>#REF!</v>
      </c>
    </row>
    <row r="58" spans="2:5" ht="12.75" customHeight="1">
      <c r="B58" s="71">
        <v>90015</v>
      </c>
      <c r="C58" s="31" t="s">
        <v>97</v>
      </c>
      <c r="D58" s="141" t="e">
        <f>#REF!-130000</f>
        <v>#REF!</v>
      </c>
      <c r="E58" s="111" t="e">
        <f t="shared" si="2"/>
        <v>#REF!</v>
      </c>
    </row>
    <row r="59" spans="2:5" ht="12.75" customHeight="1">
      <c r="B59" s="77">
        <v>90095</v>
      </c>
      <c r="C59" s="87" t="s">
        <v>66</v>
      </c>
      <c r="D59" s="218" t="e">
        <f>#REF!</f>
        <v>#REF!</v>
      </c>
      <c r="E59" s="125" t="e">
        <f t="shared" si="2"/>
        <v>#REF!</v>
      </c>
    </row>
    <row r="60" spans="2:5" ht="12.75" customHeight="1">
      <c r="B60" s="215"/>
      <c r="C60" s="216" t="s">
        <v>56</v>
      </c>
      <c r="D60" s="217" t="e">
        <f>D46+D49+D51+D54</f>
        <v>#REF!</v>
      </c>
      <c r="E60" s="153" t="e">
        <f t="shared" si="2"/>
        <v>#REF!</v>
      </c>
    </row>
    <row r="61" s="85" customFormat="1" ht="12.75" customHeight="1"/>
    <row r="62" spans="2:5" ht="12.75" customHeight="1">
      <c r="B62" s="147" t="s">
        <v>61</v>
      </c>
      <c r="C62" s="148" t="s">
        <v>63</v>
      </c>
      <c r="D62" s="146" t="s">
        <v>271</v>
      </c>
      <c r="E62" s="208" t="s">
        <v>321</v>
      </c>
    </row>
    <row r="63" spans="2:5" ht="12.75" customHeight="1">
      <c r="B63" s="79">
        <v>750</v>
      </c>
      <c r="C63" s="93" t="s">
        <v>51</v>
      </c>
      <c r="D63" s="128" t="e">
        <f>D64+D65+D66+D67</f>
        <v>#REF!</v>
      </c>
      <c r="E63" s="119" t="e">
        <f aca="true" t="shared" si="3" ref="E63:E68">D63/39394696.33%</f>
        <v>#REF!</v>
      </c>
    </row>
    <row r="64" spans="2:5" ht="12.75" customHeight="1">
      <c r="B64" s="73">
        <v>75011</v>
      </c>
      <c r="C64" s="92" t="s">
        <v>73</v>
      </c>
      <c r="D64" s="129" t="e">
        <f>#REF!</f>
        <v>#REF!</v>
      </c>
      <c r="E64" s="111" t="e">
        <f t="shared" si="3"/>
        <v>#REF!</v>
      </c>
    </row>
    <row r="65" spans="2:5" s="85" customFormat="1" ht="12.75" customHeight="1">
      <c r="B65" s="73">
        <v>75022</v>
      </c>
      <c r="C65" s="92" t="s">
        <v>74</v>
      </c>
      <c r="D65" s="129" t="e">
        <f>#REF!</f>
        <v>#REF!</v>
      </c>
      <c r="E65" s="111" t="e">
        <f t="shared" si="3"/>
        <v>#REF!</v>
      </c>
    </row>
    <row r="66" spans="2:5" ht="12.75" customHeight="1">
      <c r="B66" s="73">
        <v>75023</v>
      </c>
      <c r="C66" s="92" t="s">
        <v>75</v>
      </c>
      <c r="D66" s="129" t="e">
        <f>#REF!-150000</f>
        <v>#REF!</v>
      </c>
      <c r="E66" s="111" t="e">
        <f t="shared" si="3"/>
        <v>#REF!</v>
      </c>
    </row>
    <row r="67" spans="2:5" ht="12.75" customHeight="1">
      <c r="B67" s="78">
        <v>75095</v>
      </c>
      <c r="C67" s="94" t="s">
        <v>66</v>
      </c>
      <c r="D67" s="130" t="e">
        <f>#REF!</f>
        <v>#REF!</v>
      </c>
      <c r="E67" s="125" t="e">
        <f t="shared" si="3"/>
        <v>#REF!</v>
      </c>
    </row>
    <row r="68" spans="2:5" ht="12.75" customHeight="1">
      <c r="B68" s="215"/>
      <c r="C68" s="216" t="s">
        <v>56</v>
      </c>
      <c r="D68" s="217" t="e">
        <f>D63</f>
        <v>#REF!</v>
      </c>
      <c r="E68" s="153" t="e">
        <f t="shared" si="3"/>
        <v>#REF!</v>
      </c>
    </row>
    <row r="70" spans="2:5" ht="12.75" customHeight="1">
      <c r="B70" s="147" t="s">
        <v>61</v>
      </c>
      <c r="C70" s="148" t="s">
        <v>63</v>
      </c>
      <c r="D70" s="146" t="s">
        <v>271</v>
      </c>
      <c r="E70" s="208" t="s">
        <v>321</v>
      </c>
    </row>
    <row r="71" spans="2:5" ht="12.75" customHeight="1">
      <c r="B71" s="67" t="s">
        <v>102</v>
      </c>
      <c r="C71" s="28" t="s">
        <v>62</v>
      </c>
      <c r="D71" s="128" t="e">
        <f>D72</f>
        <v>#REF!</v>
      </c>
      <c r="E71" s="119" t="e">
        <f aca="true" t="shared" si="4" ref="E71:E91">D71/39394696.33%</f>
        <v>#REF!</v>
      </c>
    </row>
    <row r="72" spans="2:5" ht="12.75" customHeight="1">
      <c r="B72" s="68" t="s">
        <v>103</v>
      </c>
      <c r="C72" s="87" t="s">
        <v>64</v>
      </c>
      <c r="D72" s="130" t="e">
        <f>#REF!</f>
        <v>#REF!</v>
      </c>
      <c r="E72" s="125" t="e">
        <f t="shared" si="4"/>
        <v>#REF!</v>
      </c>
    </row>
    <row r="73" spans="2:5" ht="12.75" customHeight="1">
      <c r="B73" s="69" t="s">
        <v>104</v>
      </c>
      <c r="C73" s="95" t="s">
        <v>47</v>
      </c>
      <c r="D73" s="136" t="e">
        <f>D74</f>
        <v>#REF!</v>
      </c>
      <c r="E73" s="119" t="e">
        <f t="shared" si="4"/>
        <v>#REF!</v>
      </c>
    </row>
    <row r="74" spans="2:5" ht="12.75" customHeight="1">
      <c r="B74" s="70" t="s">
        <v>105</v>
      </c>
      <c r="C74" s="96" t="s">
        <v>65</v>
      </c>
      <c r="D74" s="129" t="e">
        <f>#REF!</f>
        <v>#REF!</v>
      </c>
      <c r="E74" s="111" t="e">
        <f t="shared" si="4"/>
        <v>#REF!</v>
      </c>
    </row>
    <row r="75" spans="2:5" ht="12.75" customHeight="1">
      <c r="B75" s="79">
        <v>500</v>
      </c>
      <c r="C75" s="98" t="s">
        <v>67</v>
      </c>
      <c r="D75" s="128" t="e">
        <f>D76</f>
        <v>#REF!</v>
      </c>
      <c r="E75" s="119" t="e">
        <f t="shared" si="4"/>
        <v>#REF!</v>
      </c>
    </row>
    <row r="76" spans="2:5" ht="12.75" customHeight="1">
      <c r="B76" s="78">
        <v>50095</v>
      </c>
      <c r="C76" s="99" t="s">
        <v>66</v>
      </c>
      <c r="D76" s="130" t="e">
        <f>#REF!</f>
        <v>#REF!</v>
      </c>
      <c r="E76" s="125" t="e">
        <f t="shared" si="4"/>
        <v>#REF!</v>
      </c>
    </row>
    <row r="77" spans="2:5" ht="12.75" customHeight="1">
      <c r="B77" s="76">
        <v>710</v>
      </c>
      <c r="C77" s="28" t="s">
        <v>71</v>
      </c>
      <c r="D77" s="212" t="e">
        <f>D79+D80+D78</f>
        <v>#REF!</v>
      </c>
      <c r="E77" s="119" t="e">
        <f t="shared" si="4"/>
        <v>#REF!</v>
      </c>
    </row>
    <row r="78" spans="2:5" ht="12.75" customHeight="1">
      <c r="B78" s="71">
        <v>71004</v>
      </c>
      <c r="C78" s="31" t="s">
        <v>150</v>
      </c>
      <c r="D78" s="209" t="e">
        <f>#REF!</f>
        <v>#REF!</v>
      </c>
      <c r="E78" s="111" t="e">
        <f t="shared" si="4"/>
        <v>#REF!</v>
      </c>
    </row>
    <row r="79" spans="2:5" ht="12.75" customHeight="1">
      <c r="B79" s="71">
        <v>71035</v>
      </c>
      <c r="C79" s="31" t="s">
        <v>72</v>
      </c>
      <c r="D79" s="209" t="e">
        <f>#REF!-50000</f>
        <v>#REF!</v>
      </c>
      <c r="E79" s="150" t="e">
        <f t="shared" si="4"/>
        <v>#REF!</v>
      </c>
    </row>
    <row r="80" spans="2:5" ht="12.75" customHeight="1">
      <c r="B80" s="77">
        <v>71095</v>
      </c>
      <c r="C80" s="87" t="s">
        <v>66</v>
      </c>
      <c r="D80" s="213" t="e">
        <f>#REF!</f>
        <v>#REF!</v>
      </c>
      <c r="E80" s="125" t="e">
        <f t="shared" si="4"/>
        <v>#REF!</v>
      </c>
    </row>
    <row r="81" spans="2:5" ht="12.75" customHeight="1">
      <c r="B81" s="76">
        <v>751</v>
      </c>
      <c r="C81" s="89" t="s">
        <v>243</v>
      </c>
      <c r="D81" s="132" t="e">
        <f>D82</f>
        <v>#REF!</v>
      </c>
      <c r="E81" s="119" t="e">
        <f t="shared" si="4"/>
        <v>#REF!</v>
      </c>
    </row>
    <row r="82" spans="2:5" ht="12.75" customHeight="1">
      <c r="B82" s="77">
        <v>75101</v>
      </c>
      <c r="C82" s="87" t="s">
        <v>243</v>
      </c>
      <c r="D82" s="134" t="e">
        <f>#REF!</f>
        <v>#REF!</v>
      </c>
      <c r="E82" s="125" t="e">
        <f t="shared" si="4"/>
        <v>#REF!</v>
      </c>
    </row>
    <row r="83" spans="2:5" ht="12.75" customHeight="1">
      <c r="B83" s="203">
        <v>754</v>
      </c>
      <c r="C83" s="74" t="s">
        <v>77</v>
      </c>
      <c r="D83" s="204" t="e">
        <f>D84</f>
        <v>#REF!</v>
      </c>
      <c r="E83" s="119" t="e">
        <f t="shared" si="4"/>
        <v>#REF!</v>
      </c>
    </row>
    <row r="84" spans="2:5" ht="12.75" customHeight="1">
      <c r="B84" s="71">
        <v>75412</v>
      </c>
      <c r="C84" s="31" t="s">
        <v>78</v>
      </c>
      <c r="D84" s="133" t="e">
        <f>#REF!-5000</f>
        <v>#REF!</v>
      </c>
      <c r="E84" s="125" t="e">
        <f t="shared" si="4"/>
        <v>#REF!</v>
      </c>
    </row>
    <row r="85" spans="2:5" ht="12.75" customHeight="1">
      <c r="B85" s="76">
        <v>756</v>
      </c>
      <c r="C85" s="28" t="s">
        <v>285</v>
      </c>
      <c r="D85" s="139" t="e">
        <f>D86</f>
        <v>#REF!</v>
      </c>
      <c r="E85" s="119" t="e">
        <f t="shared" si="4"/>
        <v>#REF!</v>
      </c>
    </row>
    <row r="86" spans="2:5" ht="12.75" customHeight="1">
      <c r="B86" s="77">
        <v>75647</v>
      </c>
      <c r="C86" s="87" t="s">
        <v>76</v>
      </c>
      <c r="D86" s="134" t="e">
        <f>#REF!</f>
        <v>#REF!</v>
      </c>
      <c r="E86" s="125" t="e">
        <f t="shared" si="4"/>
        <v>#REF!</v>
      </c>
    </row>
    <row r="87" spans="2:5" ht="12.75" customHeight="1">
      <c r="B87" s="72">
        <v>757</v>
      </c>
      <c r="C87" s="95" t="s">
        <v>79</v>
      </c>
      <c r="D87" s="136" t="e">
        <f>D88</f>
        <v>#REF!</v>
      </c>
      <c r="E87" s="119" t="e">
        <f t="shared" si="4"/>
        <v>#REF!</v>
      </c>
    </row>
    <row r="88" spans="2:5" ht="12.75" customHeight="1">
      <c r="B88" s="73">
        <v>75702</v>
      </c>
      <c r="C88" s="96" t="s">
        <v>108</v>
      </c>
      <c r="D88" s="129" t="e">
        <f>#REF!</f>
        <v>#REF!</v>
      </c>
      <c r="E88" s="125" t="e">
        <f t="shared" si="4"/>
        <v>#REF!</v>
      </c>
    </row>
    <row r="89" spans="2:5" ht="12.75" customHeight="1">
      <c r="B89" s="79">
        <v>758</v>
      </c>
      <c r="C89" s="98" t="s">
        <v>52</v>
      </c>
      <c r="D89" s="128" t="e">
        <f>D90</f>
        <v>#REF!</v>
      </c>
      <c r="E89" s="119" t="e">
        <f t="shared" si="4"/>
        <v>#REF!</v>
      </c>
    </row>
    <row r="90" spans="2:5" ht="12.75" customHeight="1">
      <c r="B90" s="73">
        <v>75818</v>
      </c>
      <c r="C90" s="96" t="s">
        <v>80</v>
      </c>
      <c r="D90" s="129" t="e">
        <f>#REF!</f>
        <v>#REF!</v>
      </c>
      <c r="E90" s="125" t="e">
        <f t="shared" si="4"/>
        <v>#REF!</v>
      </c>
    </row>
    <row r="91" spans="2:5" ht="12.75" customHeight="1">
      <c r="B91" s="215"/>
      <c r="C91" s="216" t="s">
        <v>56</v>
      </c>
      <c r="D91" s="217" t="e">
        <f>D71+D73+D75+D77+D81+D83+D85+D87+D89</f>
        <v>#REF!</v>
      </c>
      <c r="E91" s="153" t="e">
        <f t="shared" si="4"/>
        <v>#REF!</v>
      </c>
    </row>
    <row r="93" spans="2:5" ht="12.75" customHeight="1">
      <c r="B93" s="147" t="s">
        <v>61</v>
      </c>
      <c r="C93" s="148" t="s">
        <v>94</v>
      </c>
      <c r="D93" s="146" t="s">
        <v>271</v>
      </c>
      <c r="E93" s="233"/>
    </row>
    <row r="94" spans="2:5" ht="12.75" customHeight="1">
      <c r="B94" s="76">
        <v>400</v>
      </c>
      <c r="C94" s="28" t="s">
        <v>107</v>
      </c>
      <c r="D94" s="219">
        <f>D95</f>
        <v>42000</v>
      </c>
      <c r="E94" s="119">
        <f aca="true" t="shared" si="5" ref="E94:E125">D94/39394696.33%</f>
        <v>0.11</v>
      </c>
    </row>
    <row r="95" spans="2:5" ht="12.75" customHeight="1">
      <c r="B95" s="71">
        <v>40002</v>
      </c>
      <c r="C95" s="31" t="s">
        <v>116</v>
      </c>
      <c r="D95" s="220">
        <f>D96</f>
        <v>42000</v>
      </c>
      <c r="E95" s="111">
        <f t="shared" si="5"/>
        <v>0.11</v>
      </c>
    </row>
    <row r="96" spans="2:5" ht="12.75" customHeight="1">
      <c r="B96" s="71"/>
      <c r="C96" s="31" t="s">
        <v>94</v>
      </c>
      <c r="D96" s="220">
        <f>D97</f>
        <v>42000</v>
      </c>
      <c r="E96" s="111">
        <f t="shared" si="5"/>
        <v>0.11</v>
      </c>
    </row>
    <row r="97" spans="2:5" ht="12.75" customHeight="1">
      <c r="B97" s="77"/>
      <c r="C97" s="87" t="s">
        <v>211</v>
      </c>
      <c r="D97" s="221">
        <v>42000</v>
      </c>
      <c r="E97" s="125">
        <f t="shared" si="5"/>
        <v>0.11</v>
      </c>
    </row>
    <row r="98" spans="2:5" ht="12.75" customHeight="1">
      <c r="B98" s="28">
        <v>600</v>
      </c>
      <c r="C98" s="28" t="s">
        <v>48</v>
      </c>
      <c r="D98" s="219">
        <f>D99+D102</f>
        <v>890000</v>
      </c>
      <c r="E98" s="119">
        <f t="shared" si="5"/>
        <v>2.26</v>
      </c>
    </row>
    <row r="99" spans="2:5" ht="12.75" customHeight="1">
      <c r="B99" s="121">
        <v>60013</v>
      </c>
      <c r="C99" s="121" t="s">
        <v>275</v>
      </c>
      <c r="D99" s="222">
        <f>D100</f>
        <v>50000</v>
      </c>
      <c r="E99" s="111">
        <f t="shared" si="5"/>
        <v>0.13</v>
      </c>
    </row>
    <row r="100" spans="2:5" ht="12.75" customHeight="1">
      <c r="B100" s="192"/>
      <c r="C100" s="121" t="s">
        <v>313</v>
      </c>
      <c r="D100" s="222">
        <v>50000</v>
      </c>
      <c r="E100" s="111">
        <f t="shared" si="5"/>
        <v>0.13</v>
      </c>
    </row>
    <row r="101" spans="2:5" ht="12.75" customHeight="1">
      <c r="B101" s="192"/>
      <c r="C101" s="121" t="s">
        <v>319</v>
      </c>
      <c r="D101" s="222">
        <v>50000</v>
      </c>
      <c r="E101" s="111">
        <f t="shared" si="5"/>
        <v>0.13</v>
      </c>
    </row>
    <row r="102" spans="2:5" ht="12.75" customHeight="1">
      <c r="B102" s="31">
        <v>60016</v>
      </c>
      <c r="C102" s="31" t="s">
        <v>68</v>
      </c>
      <c r="D102" s="223">
        <f>D103</f>
        <v>840000</v>
      </c>
      <c r="E102" s="111">
        <f t="shared" si="5"/>
        <v>2.13</v>
      </c>
    </row>
    <row r="103" spans="2:5" ht="12.75" customHeight="1">
      <c r="B103" s="31"/>
      <c r="C103" s="31" t="s">
        <v>94</v>
      </c>
      <c r="D103" s="220">
        <f>D104+D107+D113+D112+D110+D111+D105+D106+D108+D109</f>
        <v>840000</v>
      </c>
      <c r="E103" s="111">
        <f t="shared" si="5"/>
        <v>2.13</v>
      </c>
    </row>
    <row r="104" spans="2:5" ht="12.75" customHeight="1">
      <c r="B104" s="121"/>
      <c r="C104" s="121" t="s">
        <v>140</v>
      </c>
      <c r="D104" s="224">
        <v>50000</v>
      </c>
      <c r="E104" s="111">
        <f t="shared" si="5"/>
        <v>0.13</v>
      </c>
    </row>
    <row r="105" spans="2:5" ht="12.75" customHeight="1">
      <c r="B105" s="121"/>
      <c r="C105" s="62" t="s">
        <v>322</v>
      </c>
      <c r="D105" s="224">
        <f>80000+100000</f>
        <v>180000</v>
      </c>
      <c r="E105" s="111">
        <f t="shared" si="5"/>
        <v>0.46</v>
      </c>
    </row>
    <row r="106" spans="2:5" ht="12.75" customHeight="1">
      <c r="B106" s="121"/>
      <c r="C106" s="62" t="s">
        <v>306</v>
      </c>
      <c r="D106" s="224">
        <f>100000+15000+30000</f>
        <v>145000</v>
      </c>
      <c r="E106" s="111">
        <f t="shared" si="5"/>
        <v>0.37</v>
      </c>
    </row>
    <row r="107" spans="2:5" ht="12.75" customHeight="1">
      <c r="B107" s="121"/>
      <c r="C107" s="121" t="s">
        <v>222</v>
      </c>
      <c r="D107" s="224">
        <v>100000</v>
      </c>
      <c r="E107" s="111">
        <f t="shared" si="5"/>
        <v>0.25</v>
      </c>
    </row>
    <row r="108" spans="2:5" ht="12.75" customHeight="1">
      <c r="B108" s="120"/>
      <c r="C108" s="121" t="s">
        <v>320</v>
      </c>
      <c r="D108" s="224">
        <v>50000</v>
      </c>
      <c r="E108" s="111">
        <f t="shared" si="5"/>
        <v>0.13</v>
      </c>
    </row>
    <row r="109" spans="2:5" ht="12.75" customHeight="1">
      <c r="B109" s="120"/>
      <c r="C109" s="121" t="s">
        <v>309</v>
      </c>
      <c r="D109" s="224">
        <v>50000</v>
      </c>
      <c r="E109" s="111">
        <f t="shared" si="5"/>
        <v>0.13</v>
      </c>
    </row>
    <row r="110" spans="2:5" ht="12.75" customHeight="1">
      <c r="B110" s="71"/>
      <c r="C110" s="75" t="s">
        <v>277</v>
      </c>
      <c r="D110" s="220">
        <v>50000</v>
      </c>
      <c r="E110" s="111">
        <f t="shared" si="5"/>
        <v>0.13</v>
      </c>
    </row>
    <row r="111" spans="2:5" ht="12.75" customHeight="1">
      <c r="B111" s="71"/>
      <c r="C111" s="75" t="s">
        <v>276</v>
      </c>
      <c r="D111" s="220">
        <v>40000</v>
      </c>
      <c r="E111" s="111">
        <f t="shared" si="5"/>
        <v>0.1</v>
      </c>
    </row>
    <row r="112" spans="2:5" ht="12.75" customHeight="1">
      <c r="B112" s="71"/>
      <c r="C112" s="75" t="s">
        <v>223</v>
      </c>
      <c r="D112" s="220">
        <f>50000+25000</f>
        <v>75000</v>
      </c>
      <c r="E112" s="111">
        <f t="shared" si="5"/>
        <v>0.19</v>
      </c>
    </row>
    <row r="113" spans="2:5" ht="12.75" customHeight="1">
      <c r="B113" s="31"/>
      <c r="C113" s="31" t="s">
        <v>141</v>
      </c>
      <c r="D113" s="220">
        <v>100000</v>
      </c>
      <c r="E113" s="125">
        <f t="shared" si="5"/>
        <v>0.25</v>
      </c>
    </row>
    <row r="114" spans="2:5" ht="12.75" customHeight="1">
      <c r="B114" s="76">
        <v>700</v>
      </c>
      <c r="C114" s="28" t="s">
        <v>50</v>
      </c>
      <c r="D114" s="212">
        <f>D115</f>
        <v>210000</v>
      </c>
      <c r="E114" s="119">
        <f t="shared" si="5"/>
        <v>0.53</v>
      </c>
    </row>
    <row r="115" spans="2:5" ht="12.75" customHeight="1">
      <c r="B115" s="71">
        <v>70005</v>
      </c>
      <c r="C115" s="31" t="s">
        <v>70</v>
      </c>
      <c r="D115" s="209">
        <f>D116</f>
        <v>210000</v>
      </c>
      <c r="E115" s="111">
        <f t="shared" si="5"/>
        <v>0.53</v>
      </c>
    </row>
    <row r="116" spans="2:5" ht="12.75" customHeight="1">
      <c r="B116" s="71"/>
      <c r="C116" s="121" t="s">
        <v>94</v>
      </c>
      <c r="D116" s="211">
        <f>D117+D118+D119</f>
        <v>210000</v>
      </c>
      <c r="E116" s="111">
        <f t="shared" si="5"/>
        <v>0.53</v>
      </c>
    </row>
    <row r="117" spans="2:5" ht="12.75" customHeight="1">
      <c r="B117" s="71"/>
      <c r="C117" s="121" t="s">
        <v>317</v>
      </c>
      <c r="D117" s="211">
        <v>30000</v>
      </c>
      <c r="E117" s="111">
        <f t="shared" si="5"/>
        <v>0.08</v>
      </c>
    </row>
    <row r="118" spans="2:5" ht="12.75" customHeight="1">
      <c r="B118" s="71"/>
      <c r="C118" s="31" t="s">
        <v>307</v>
      </c>
      <c r="D118" s="210">
        <v>80000</v>
      </c>
      <c r="E118" s="111">
        <f t="shared" si="5"/>
        <v>0.2</v>
      </c>
    </row>
    <row r="119" spans="2:5" ht="12.75" customHeight="1">
      <c r="B119" s="71"/>
      <c r="C119" s="31" t="s">
        <v>318</v>
      </c>
      <c r="D119" s="210">
        <v>100000</v>
      </c>
      <c r="E119" s="125">
        <f t="shared" si="5"/>
        <v>0.25</v>
      </c>
    </row>
    <row r="120" spans="2:5" ht="12.75" customHeight="1">
      <c r="B120" s="76">
        <v>710</v>
      </c>
      <c r="C120" s="28" t="s">
        <v>71</v>
      </c>
      <c r="D120" s="212">
        <f>D121</f>
        <v>50000</v>
      </c>
      <c r="E120" s="119">
        <f t="shared" si="5"/>
        <v>0.13</v>
      </c>
    </row>
    <row r="121" spans="2:5" ht="12.75" customHeight="1">
      <c r="B121" s="71">
        <v>71035</v>
      </c>
      <c r="C121" s="31" t="s">
        <v>72</v>
      </c>
      <c r="D121" s="209">
        <f>D122</f>
        <v>50000</v>
      </c>
      <c r="E121" s="111">
        <f t="shared" si="5"/>
        <v>0.13</v>
      </c>
    </row>
    <row r="122" spans="2:5" ht="12.75" customHeight="1">
      <c r="B122" s="71"/>
      <c r="C122" s="31" t="s">
        <v>94</v>
      </c>
      <c r="D122" s="210">
        <f>D123</f>
        <v>50000</v>
      </c>
      <c r="E122" s="111">
        <f t="shared" si="5"/>
        <v>0.13</v>
      </c>
    </row>
    <row r="123" spans="2:5" ht="12.75" customHeight="1">
      <c r="B123" s="77"/>
      <c r="C123" s="87" t="s">
        <v>142</v>
      </c>
      <c r="D123" s="225">
        <v>50000</v>
      </c>
      <c r="E123" s="125">
        <f t="shared" si="5"/>
        <v>0.13</v>
      </c>
    </row>
    <row r="124" spans="2:5" ht="12.75" customHeight="1">
      <c r="B124" s="72">
        <v>750</v>
      </c>
      <c r="C124" s="91" t="s">
        <v>51</v>
      </c>
      <c r="D124" s="226">
        <f>D125</f>
        <v>150000</v>
      </c>
      <c r="E124" s="119">
        <f t="shared" si="5"/>
        <v>0.38</v>
      </c>
    </row>
    <row r="125" spans="2:5" ht="12.75" customHeight="1">
      <c r="B125" s="73">
        <v>75023</v>
      </c>
      <c r="C125" s="92" t="s">
        <v>75</v>
      </c>
      <c r="D125" s="223">
        <f>D126</f>
        <v>150000</v>
      </c>
      <c r="E125" s="111">
        <f t="shared" si="5"/>
        <v>0.38</v>
      </c>
    </row>
    <row r="126" spans="2:5" ht="12.75" customHeight="1">
      <c r="B126" s="73"/>
      <c r="C126" s="92" t="s">
        <v>94</v>
      </c>
      <c r="D126" s="220">
        <f>D127+D128</f>
        <v>150000</v>
      </c>
      <c r="E126" s="111">
        <f aca="true" t="shared" si="6" ref="E126:E157">D126/39394696.33%</f>
        <v>0.38</v>
      </c>
    </row>
    <row r="127" spans="2:5" ht="12.75" customHeight="1">
      <c r="B127" s="73"/>
      <c r="C127" s="92" t="s">
        <v>212</v>
      </c>
      <c r="D127" s="220">
        <v>50000</v>
      </c>
      <c r="E127" s="111">
        <f t="shared" si="6"/>
        <v>0.13</v>
      </c>
    </row>
    <row r="128" spans="2:5" ht="12.75" customHeight="1">
      <c r="B128" s="73"/>
      <c r="C128" s="92" t="s">
        <v>213</v>
      </c>
      <c r="D128" s="220">
        <v>100000</v>
      </c>
      <c r="E128" s="125">
        <f t="shared" si="6"/>
        <v>0.25</v>
      </c>
    </row>
    <row r="129" spans="2:5" ht="12.75" customHeight="1">
      <c r="B129" s="76">
        <v>754</v>
      </c>
      <c r="C129" s="28" t="s">
        <v>77</v>
      </c>
      <c r="D129" s="212">
        <f>D130</f>
        <v>5000</v>
      </c>
      <c r="E129" s="119">
        <f t="shared" si="6"/>
        <v>0.01</v>
      </c>
    </row>
    <row r="130" spans="2:5" ht="12.75" customHeight="1">
      <c r="B130" s="71">
        <v>75412</v>
      </c>
      <c r="C130" s="31" t="s">
        <v>78</v>
      </c>
      <c r="D130" s="209">
        <f>D131</f>
        <v>5000</v>
      </c>
      <c r="E130" s="111">
        <f t="shared" si="6"/>
        <v>0.01</v>
      </c>
    </row>
    <row r="131" spans="2:5" ht="12.75" customHeight="1">
      <c r="B131" s="71"/>
      <c r="C131" s="31" t="s">
        <v>94</v>
      </c>
      <c r="D131" s="210">
        <f>D132</f>
        <v>5000</v>
      </c>
      <c r="E131" s="111">
        <f t="shared" si="6"/>
        <v>0.01</v>
      </c>
    </row>
    <row r="132" spans="2:5" ht="12.75" customHeight="1">
      <c r="B132" s="77"/>
      <c r="C132" s="87" t="s">
        <v>212</v>
      </c>
      <c r="D132" s="225">
        <v>5000</v>
      </c>
      <c r="E132" s="125">
        <f t="shared" si="6"/>
        <v>0.01</v>
      </c>
    </row>
    <row r="133" spans="2:5" ht="12.75" customHeight="1">
      <c r="B133" s="76">
        <v>801</v>
      </c>
      <c r="C133" s="28" t="s">
        <v>53</v>
      </c>
      <c r="D133" s="212">
        <f>D134</f>
        <v>502653.8</v>
      </c>
      <c r="E133" s="119">
        <f t="shared" si="6"/>
        <v>1.28</v>
      </c>
    </row>
    <row r="134" spans="2:5" ht="12.75" customHeight="1">
      <c r="B134" s="71">
        <v>80101</v>
      </c>
      <c r="C134" s="31" t="s">
        <v>81</v>
      </c>
      <c r="D134" s="209">
        <f>D135</f>
        <v>502653.8</v>
      </c>
      <c r="E134" s="111">
        <f t="shared" si="6"/>
        <v>1.28</v>
      </c>
    </row>
    <row r="135" spans="2:5" ht="12.75" customHeight="1">
      <c r="B135" s="120"/>
      <c r="C135" s="121" t="s">
        <v>94</v>
      </c>
      <c r="D135" s="211">
        <f>D138+D139+D136+D137+D140</f>
        <v>502653.8</v>
      </c>
      <c r="E135" s="111">
        <f t="shared" si="6"/>
        <v>1.28</v>
      </c>
    </row>
    <row r="136" spans="2:5" ht="12.75" customHeight="1">
      <c r="B136" s="120"/>
      <c r="C136" s="31" t="s">
        <v>268</v>
      </c>
      <c r="D136" s="211">
        <v>17000</v>
      </c>
      <c r="E136" s="111">
        <f t="shared" si="6"/>
        <v>0.04</v>
      </c>
    </row>
    <row r="137" spans="2:5" ht="12.75" customHeight="1">
      <c r="B137" s="120"/>
      <c r="C137" s="31" t="s">
        <v>312</v>
      </c>
      <c r="D137" s="211">
        <v>5000</v>
      </c>
      <c r="E137" s="111">
        <f t="shared" si="6"/>
        <v>0.01</v>
      </c>
    </row>
    <row r="138" spans="2:5" ht="12.75" customHeight="1">
      <c r="B138" s="120"/>
      <c r="C138" s="121" t="s">
        <v>300</v>
      </c>
      <c r="D138" s="211">
        <v>70000</v>
      </c>
      <c r="E138" s="111">
        <f t="shared" si="6"/>
        <v>0.18</v>
      </c>
    </row>
    <row r="139" spans="2:5" ht="12.75" customHeight="1">
      <c r="B139" s="71"/>
      <c r="C139" s="31" t="s">
        <v>269</v>
      </c>
      <c r="D139" s="210">
        <v>410653.8</v>
      </c>
      <c r="E139" s="111">
        <f t="shared" si="6"/>
        <v>1.04</v>
      </c>
    </row>
    <row r="140" spans="2:5" ht="12.75" customHeight="1">
      <c r="B140" s="77"/>
      <c r="C140" s="87"/>
      <c r="D140" s="225"/>
      <c r="E140" s="125">
        <f t="shared" si="6"/>
        <v>0</v>
      </c>
    </row>
    <row r="141" spans="2:5" ht="12.75" customHeight="1">
      <c r="B141" s="76">
        <v>900</v>
      </c>
      <c r="C141" s="28" t="s">
        <v>54</v>
      </c>
      <c r="D141" s="227">
        <f>D142+D145+D148</f>
        <v>4016664.53</v>
      </c>
      <c r="E141" s="119">
        <f t="shared" si="6"/>
        <v>10.2</v>
      </c>
    </row>
    <row r="142" spans="2:5" ht="12.75" customHeight="1">
      <c r="B142" s="71">
        <v>90001</v>
      </c>
      <c r="C142" s="31" t="s">
        <v>93</v>
      </c>
      <c r="D142" s="228">
        <f>D143</f>
        <v>60000</v>
      </c>
      <c r="E142" s="111">
        <f t="shared" si="6"/>
        <v>0.15</v>
      </c>
    </row>
    <row r="143" spans="2:5" ht="12.75" customHeight="1">
      <c r="B143" s="71"/>
      <c r="C143" s="31" t="s">
        <v>94</v>
      </c>
      <c r="D143" s="220">
        <f>D144</f>
        <v>60000</v>
      </c>
      <c r="E143" s="111">
        <f t="shared" si="6"/>
        <v>0.15</v>
      </c>
    </row>
    <row r="144" spans="2:5" ht="12.75" customHeight="1">
      <c r="B144" s="71"/>
      <c r="C144" s="121" t="s">
        <v>314</v>
      </c>
      <c r="D144" s="224">
        <v>60000</v>
      </c>
      <c r="E144" s="111">
        <f t="shared" si="6"/>
        <v>0.15</v>
      </c>
    </row>
    <row r="145" spans="2:5" ht="12.75" customHeight="1">
      <c r="B145" s="80">
        <v>90002</v>
      </c>
      <c r="C145" s="75" t="s">
        <v>203</v>
      </c>
      <c r="D145" s="220">
        <f>D146</f>
        <v>3826664.53</v>
      </c>
      <c r="E145" s="111">
        <f t="shared" si="6"/>
        <v>9.71</v>
      </c>
    </row>
    <row r="146" spans="2:5" ht="12.75" customHeight="1">
      <c r="B146" s="81"/>
      <c r="C146" s="75" t="s">
        <v>94</v>
      </c>
      <c r="D146" s="220">
        <f>D147</f>
        <v>3826664.53</v>
      </c>
      <c r="E146" s="111">
        <f t="shared" si="6"/>
        <v>9.71</v>
      </c>
    </row>
    <row r="147" spans="2:5" ht="12.75" customHeight="1">
      <c r="B147" s="101"/>
      <c r="C147" s="87" t="s">
        <v>267</v>
      </c>
      <c r="D147" s="221">
        <f>4186000-354335.47-5000</f>
        <v>3826664.53</v>
      </c>
      <c r="E147" s="125">
        <f t="shared" si="6"/>
        <v>9.71</v>
      </c>
    </row>
    <row r="148" spans="2:5" ht="12.75" customHeight="1">
      <c r="B148" s="205">
        <v>90015</v>
      </c>
      <c r="C148" s="89" t="s">
        <v>97</v>
      </c>
      <c r="D148" s="229">
        <f>D149</f>
        <v>130000</v>
      </c>
      <c r="E148" s="119">
        <f t="shared" si="6"/>
        <v>0.33</v>
      </c>
    </row>
    <row r="149" spans="2:5" ht="12.75" customHeight="1">
      <c r="B149" s="71"/>
      <c r="C149" s="31" t="s">
        <v>94</v>
      </c>
      <c r="D149" s="220">
        <f>D150+D151+D152+D153</f>
        <v>130000</v>
      </c>
      <c r="E149" s="111">
        <f t="shared" si="6"/>
        <v>0.33</v>
      </c>
    </row>
    <row r="150" spans="2:5" ht="12.75" customHeight="1">
      <c r="B150" s="71"/>
      <c r="C150" s="31" t="s">
        <v>278</v>
      </c>
      <c r="D150" s="220">
        <f>30000+10000</f>
        <v>40000</v>
      </c>
      <c r="E150" s="111">
        <f t="shared" si="6"/>
        <v>0.1</v>
      </c>
    </row>
    <row r="151" spans="2:5" ht="12.75" customHeight="1">
      <c r="B151" s="71"/>
      <c r="C151" s="31" t="s">
        <v>279</v>
      </c>
      <c r="D151" s="220">
        <v>30000</v>
      </c>
      <c r="E151" s="111">
        <f t="shared" si="6"/>
        <v>0.08</v>
      </c>
    </row>
    <row r="152" spans="2:5" ht="12.75" customHeight="1">
      <c r="B152" s="71"/>
      <c r="C152" s="31" t="s">
        <v>280</v>
      </c>
      <c r="D152" s="220">
        <v>30000</v>
      </c>
      <c r="E152" s="111">
        <f t="shared" si="6"/>
        <v>0.08</v>
      </c>
    </row>
    <row r="153" spans="2:5" ht="12.75" customHeight="1">
      <c r="B153" s="77"/>
      <c r="C153" s="87" t="s">
        <v>281</v>
      </c>
      <c r="D153" s="221">
        <v>30000</v>
      </c>
      <c r="E153" s="125">
        <f t="shared" si="6"/>
        <v>0.08</v>
      </c>
    </row>
    <row r="154" spans="2:5" ht="12.75" customHeight="1">
      <c r="B154" s="76">
        <v>926</v>
      </c>
      <c r="C154" s="28" t="s">
        <v>100</v>
      </c>
      <c r="D154" s="230">
        <f>D155</f>
        <v>63000</v>
      </c>
      <c r="E154" s="119">
        <f t="shared" si="6"/>
        <v>0.16</v>
      </c>
    </row>
    <row r="155" spans="2:5" ht="12.75" customHeight="1">
      <c r="B155" s="71">
        <v>92605</v>
      </c>
      <c r="C155" s="31" t="s">
        <v>137</v>
      </c>
      <c r="D155" s="231">
        <f>D156</f>
        <v>63000</v>
      </c>
      <c r="E155" s="111">
        <f t="shared" si="6"/>
        <v>0.16</v>
      </c>
    </row>
    <row r="156" spans="2:5" ht="12.75" customHeight="1">
      <c r="B156" s="71"/>
      <c r="C156" s="31" t="s">
        <v>94</v>
      </c>
      <c r="D156" s="210">
        <f>D157</f>
        <v>63000</v>
      </c>
      <c r="E156" s="111">
        <f t="shared" si="6"/>
        <v>0.16</v>
      </c>
    </row>
    <row r="157" spans="2:5" ht="12.75" customHeight="1">
      <c r="B157" s="71"/>
      <c r="C157" s="206" t="s">
        <v>308</v>
      </c>
      <c r="D157" s="211">
        <f>54000+9000</f>
        <v>63000</v>
      </c>
      <c r="E157" s="111">
        <f t="shared" si="6"/>
        <v>0.16</v>
      </c>
    </row>
    <row r="158" spans="2:5" ht="12.75" customHeight="1">
      <c r="B158" s="154"/>
      <c r="C158" s="155" t="s">
        <v>56</v>
      </c>
      <c r="D158" s="232">
        <f>D154+D141+D133+D129+D124+D120+D114+D98+D94</f>
        <v>5929318.33</v>
      </c>
      <c r="E158" s="234">
        <f>D158/39394696.33%</f>
        <v>15.05</v>
      </c>
    </row>
    <row r="159" spans="2:4" ht="12.75" customHeight="1">
      <c r="B159" s="66"/>
      <c r="C159" s="66"/>
      <c r="D159" s="144"/>
    </row>
    <row r="161" ht="12.75" customHeight="1">
      <c r="D161" s="235" t="e">
        <f>D158+D91+D68+D60+D43+D28</f>
        <v>#REF!</v>
      </c>
    </row>
  </sheetData>
  <mergeCells count="2">
    <mergeCell ref="B1:D1"/>
    <mergeCell ref="B2:D2"/>
  </mergeCells>
  <printOptions/>
  <pageMargins left="0.7874015748031497" right="0.1968503937007874" top="0.4330708661417323" bottom="0.5118110236220472" header="0.2362204724409449" footer="0.2362204724409449"/>
  <pageSetup horizontalDpi="600" verticalDpi="600" orientation="portrait" paperSize="9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view="pageBreakPreview" zoomScaleSheetLayoutView="100" workbookViewId="0" topLeftCell="A1">
      <selection activeCell="J13" sqref="J13"/>
    </sheetView>
  </sheetViews>
  <sheetFormatPr defaultColWidth="9.00390625" defaultRowHeight="12.75"/>
  <cols>
    <col min="1" max="1" width="5.875" style="86" customWidth="1"/>
    <col min="2" max="2" width="8.125" style="86" customWidth="1"/>
    <col min="3" max="3" width="39.625" style="66" customWidth="1"/>
    <col min="4" max="4" width="11.875" style="109" customWidth="1"/>
    <col min="5" max="6" width="11.875" style="7" customWidth="1"/>
    <col min="7" max="16384" width="9.125" style="64" customWidth="1"/>
  </cols>
  <sheetData>
    <row r="1" ht="16.5">
      <c r="E1" s="7" t="s">
        <v>143</v>
      </c>
    </row>
    <row r="2" spans="1:6" ht="16.5">
      <c r="A2" s="622" t="s">
        <v>532</v>
      </c>
      <c r="B2" s="622"/>
      <c r="C2" s="622"/>
      <c r="D2" s="622"/>
      <c r="E2" s="622"/>
      <c r="F2" s="622"/>
    </row>
    <row r="4" spans="1:6" ht="16.5">
      <c r="A4" s="623" t="s">
        <v>45</v>
      </c>
      <c r="B4" s="623" t="s">
        <v>494</v>
      </c>
      <c r="C4" s="624" t="s">
        <v>495</v>
      </c>
      <c r="D4" s="624" t="s">
        <v>496</v>
      </c>
      <c r="E4" s="624"/>
      <c r="F4" s="624"/>
    </row>
    <row r="5" spans="1:6" ht="16.5">
      <c r="A5" s="623"/>
      <c r="B5" s="623"/>
      <c r="C5" s="624"/>
      <c r="D5" s="624" t="s">
        <v>497</v>
      </c>
      <c r="E5" s="624"/>
      <c r="F5" s="624"/>
    </row>
    <row r="6" spans="1:6" ht="16.5">
      <c r="A6" s="623"/>
      <c r="B6" s="623"/>
      <c r="C6" s="624"/>
      <c r="D6" s="426"/>
      <c r="E6" s="426"/>
      <c r="F6" s="426"/>
    </row>
    <row r="7" spans="1:6" ht="16.5">
      <c r="A7" s="623"/>
      <c r="B7" s="623"/>
      <c r="C7" s="624"/>
      <c r="D7" s="426" t="s">
        <v>498</v>
      </c>
      <c r="E7" s="426" t="s">
        <v>499</v>
      </c>
      <c r="F7" s="426" t="s">
        <v>500</v>
      </c>
    </row>
    <row r="8" spans="1:6" ht="16.5">
      <c r="A8" s="424">
        <v>1</v>
      </c>
      <c r="B8" s="425">
        <v>2</v>
      </c>
      <c r="C8" s="435">
        <v>3</v>
      </c>
      <c r="D8" s="435">
        <v>4</v>
      </c>
      <c r="E8" s="435">
        <v>5</v>
      </c>
      <c r="F8" s="435">
        <v>6</v>
      </c>
    </row>
    <row r="9" spans="1:6" ht="39.75" customHeight="1">
      <c r="A9" s="625" t="s">
        <v>501</v>
      </c>
      <c r="B9" s="625"/>
      <c r="C9" s="442" t="s">
        <v>523</v>
      </c>
      <c r="D9" s="437">
        <v>2764390</v>
      </c>
      <c r="E9" s="437">
        <v>635773</v>
      </c>
      <c r="F9" s="437">
        <v>250328</v>
      </c>
    </row>
    <row r="10" spans="1:6" ht="16.5">
      <c r="A10" s="427">
        <v>400</v>
      </c>
      <c r="B10" s="427">
        <v>40002</v>
      </c>
      <c r="C10" s="88" t="s">
        <v>520</v>
      </c>
      <c r="D10" s="241"/>
      <c r="E10" s="243">
        <v>289498</v>
      </c>
      <c r="F10" s="83"/>
    </row>
    <row r="11" spans="1:6" s="65" customFormat="1" ht="51">
      <c r="A11" s="427">
        <v>600</v>
      </c>
      <c r="B11" s="427">
        <v>60013</v>
      </c>
      <c r="C11" s="8" t="s">
        <v>578</v>
      </c>
      <c r="D11" s="83"/>
      <c r="E11" s="83"/>
      <c r="F11" s="434">
        <v>100000</v>
      </c>
    </row>
    <row r="12" spans="1:6" s="65" customFormat="1" ht="53.25" customHeight="1">
      <c r="A12" s="427">
        <v>600</v>
      </c>
      <c r="B12" s="427">
        <v>60014</v>
      </c>
      <c r="C12" s="431" t="s">
        <v>525</v>
      </c>
      <c r="D12" s="83"/>
      <c r="E12" s="83"/>
      <c r="F12" s="434">
        <v>50000</v>
      </c>
    </row>
    <row r="13" spans="1:6" ht="40.5" customHeight="1">
      <c r="A13" s="427">
        <v>600</v>
      </c>
      <c r="B13" s="427">
        <v>60016</v>
      </c>
      <c r="C13" s="431" t="s">
        <v>526</v>
      </c>
      <c r="D13" s="83"/>
      <c r="E13" s="83"/>
      <c r="F13" s="434">
        <v>15000</v>
      </c>
    </row>
    <row r="14" spans="1:6" ht="16.5">
      <c r="A14" s="427">
        <v>700</v>
      </c>
      <c r="B14" s="428">
        <v>70004</v>
      </c>
      <c r="C14" s="414" t="s">
        <v>521</v>
      </c>
      <c r="D14" s="241"/>
      <c r="E14" s="430">
        <v>73835</v>
      </c>
      <c r="F14" s="83"/>
    </row>
    <row r="15" spans="1:6" ht="54.75" customHeight="1">
      <c r="A15" s="427">
        <v>720</v>
      </c>
      <c r="B15" s="428">
        <v>72095</v>
      </c>
      <c r="C15" s="441" t="s">
        <v>531</v>
      </c>
      <c r="D15" s="241"/>
      <c r="E15" s="430"/>
      <c r="F15" s="436">
        <v>70328</v>
      </c>
    </row>
    <row r="16" spans="1:6" ht="16.5">
      <c r="A16" s="427">
        <v>801</v>
      </c>
      <c r="B16" s="427">
        <v>80104</v>
      </c>
      <c r="C16" s="429" t="s">
        <v>516</v>
      </c>
      <c r="D16" s="430">
        <v>882000</v>
      </c>
      <c r="E16" s="83"/>
      <c r="F16" s="83"/>
    </row>
    <row r="17" spans="1:6" ht="16.5">
      <c r="A17" s="427">
        <v>801</v>
      </c>
      <c r="B17" s="427">
        <v>80104</v>
      </c>
      <c r="C17" s="429" t="s">
        <v>517</v>
      </c>
      <c r="D17" s="430">
        <v>539000</v>
      </c>
      <c r="E17" s="83"/>
      <c r="F17" s="83"/>
    </row>
    <row r="18" spans="1:6" ht="38.25">
      <c r="A18" s="427">
        <v>851</v>
      </c>
      <c r="B18" s="428">
        <v>85154</v>
      </c>
      <c r="C18" s="8" t="s">
        <v>524</v>
      </c>
      <c r="D18" s="83"/>
      <c r="E18" s="83"/>
      <c r="F18" s="419">
        <v>15000</v>
      </c>
    </row>
    <row r="19" spans="1:6" ht="15" customHeight="1">
      <c r="A19" s="427">
        <v>900</v>
      </c>
      <c r="B19" s="428">
        <v>90001</v>
      </c>
      <c r="C19" s="88" t="s">
        <v>520</v>
      </c>
      <c r="D19" s="241"/>
      <c r="E19" s="243">
        <v>272440</v>
      </c>
      <c r="F19" s="83"/>
    </row>
    <row r="20" spans="1:6" ht="15" customHeight="1">
      <c r="A20" s="427">
        <v>921</v>
      </c>
      <c r="B20" s="428">
        <v>92109</v>
      </c>
      <c r="C20" s="246" t="s">
        <v>518</v>
      </c>
      <c r="D20" s="241">
        <v>695490</v>
      </c>
      <c r="E20" s="83"/>
      <c r="F20" s="83"/>
    </row>
    <row r="21" spans="1:6" ht="16.5">
      <c r="A21" s="427">
        <v>921</v>
      </c>
      <c r="B21" s="428">
        <v>92116</v>
      </c>
      <c r="C21" s="440" t="s">
        <v>519</v>
      </c>
      <c r="D21" s="241">
        <v>647900</v>
      </c>
      <c r="E21" s="83"/>
      <c r="F21" s="83"/>
    </row>
    <row r="22" spans="1:6" ht="40.5" customHeight="1">
      <c r="A22" s="626" t="s">
        <v>502</v>
      </c>
      <c r="B22" s="626"/>
      <c r="C22" s="442" t="s">
        <v>523</v>
      </c>
      <c r="D22" s="438">
        <v>4500</v>
      </c>
      <c r="E22" s="438">
        <v>0</v>
      </c>
      <c r="F22" s="438">
        <v>125000</v>
      </c>
    </row>
    <row r="23" spans="1:6" ht="16.5">
      <c r="A23" s="432" t="s">
        <v>102</v>
      </c>
      <c r="B23" s="433" t="s">
        <v>103</v>
      </c>
      <c r="C23" s="8" t="s">
        <v>522</v>
      </c>
      <c r="D23" s="416">
        <v>4500</v>
      </c>
      <c r="E23" s="83"/>
      <c r="F23" s="416"/>
    </row>
    <row r="24" spans="1:6" ht="25.5">
      <c r="A24" s="427">
        <v>921</v>
      </c>
      <c r="B24" s="428">
        <v>92120</v>
      </c>
      <c r="C24" s="8" t="s">
        <v>529</v>
      </c>
      <c r="D24" s="83"/>
      <c r="E24" s="83"/>
      <c r="F24" s="430">
        <v>40000</v>
      </c>
    </row>
    <row r="25" spans="1:6" ht="39.75" customHeight="1">
      <c r="A25" s="427">
        <v>750</v>
      </c>
      <c r="B25" s="428">
        <v>75095</v>
      </c>
      <c r="C25" s="8" t="s">
        <v>558</v>
      </c>
      <c r="D25" s="83"/>
      <c r="E25" s="83"/>
      <c r="F25" s="516">
        <v>10000</v>
      </c>
    </row>
    <row r="26" spans="1:6" ht="51">
      <c r="A26" s="427">
        <v>926</v>
      </c>
      <c r="B26" s="428">
        <v>92605</v>
      </c>
      <c r="C26" s="8" t="s">
        <v>530</v>
      </c>
      <c r="D26" s="83"/>
      <c r="E26" s="83"/>
      <c r="F26" s="243">
        <v>75000</v>
      </c>
    </row>
    <row r="27" spans="1:6" ht="16.5">
      <c r="A27" s="619" t="s">
        <v>503</v>
      </c>
      <c r="B27" s="620"/>
      <c r="C27" s="621"/>
      <c r="D27" s="439">
        <v>2768890</v>
      </c>
      <c r="E27" s="439">
        <v>635773</v>
      </c>
      <c r="F27" s="439">
        <v>375328</v>
      </c>
    </row>
  </sheetData>
  <mergeCells count="9">
    <mergeCell ref="A27:C27"/>
    <mergeCell ref="A2:F2"/>
    <mergeCell ref="A4:A7"/>
    <mergeCell ref="B4:B7"/>
    <mergeCell ref="C4:C7"/>
    <mergeCell ref="D4:F4"/>
    <mergeCell ref="D5:F5"/>
    <mergeCell ref="A9:B9"/>
    <mergeCell ref="A22:B22"/>
  </mergeCells>
  <printOptions/>
  <pageMargins left="0.95" right="0.4" top="0.35" bottom="0.23" header="0.25" footer="0.2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showGridLines="0" view="pageBreakPreview" zoomScaleSheetLayoutView="100" workbookViewId="0" topLeftCell="A1">
      <selection activeCell="F18" sqref="F18"/>
    </sheetView>
  </sheetViews>
  <sheetFormatPr defaultColWidth="9.00390625" defaultRowHeight="12.75" customHeight="1"/>
  <cols>
    <col min="1" max="1" width="4.75390625" style="86" customWidth="1"/>
    <col min="2" max="2" width="15.875" style="3" customWidth="1"/>
    <col min="3" max="3" width="26.875" style="3" customWidth="1"/>
    <col min="4" max="4" width="14.125" style="100" customWidth="1"/>
    <col min="5" max="5" width="14.875" style="100" customWidth="1"/>
    <col min="6" max="6" width="15.75390625" style="7" customWidth="1"/>
    <col min="7" max="7" width="9.125" style="7" customWidth="1"/>
    <col min="8" max="16384" width="9.125" style="1" customWidth="1"/>
  </cols>
  <sheetData>
    <row r="1" spans="1:5" ht="12.75" customHeight="1">
      <c r="A1" s="598" t="s">
        <v>144</v>
      </c>
      <c r="B1" s="598"/>
      <c r="C1" s="598"/>
      <c r="D1" s="598"/>
      <c r="E1" s="598"/>
    </row>
    <row r="2" spans="1:5" ht="12.75" customHeight="1">
      <c r="A2" s="106"/>
      <c r="B2" s="106"/>
      <c r="C2" s="106"/>
      <c r="D2" s="106"/>
      <c r="E2" s="106"/>
    </row>
    <row r="3" spans="1:5" ht="12.75" customHeight="1">
      <c r="A3" s="622" t="s">
        <v>533</v>
      </c>
      <c r="B3" s="622"/>
      <c r="C3" s="622"/>
      <c r="D3" s="622"/>
      <c r="E3" s="622"/>
    </row>
    <row r="4" spans="1:4" ht="13.5" customHeight="1">
      <c r="A4" s="97"/>
      <c r="B4" s="97"/>
      <c r="C4" s="97"/>
      <c r="D4" s="103"/>
    </row>
    <row r="5" spans="1:5" ht="12.75" customHeight="1">
      <c r="A5" s="627" t="s">
        <v>148</v>
      </c>
      <c r="B5" s="589"/>
      <c r="C5" s="589"/>
      <c r="D5" s="589"/>
      <c r="E5" s="590"/>
    </row>
    <row r="6" spans="1:5" ht="12.75" customHeight="1">
      <c r="A6" s="152" t="s">
        <v>44</v>
      </c>
      <c r="B6" s="593" t="s">
        <v>46</v>
      </c>
      <c r="C6" s="594"/>
      <c r="D6" s="595"/>
      <c r="E6" s="162" t="s">
        <v>457</v>
      </c>
    </row>
    <row r="7" spans="1:5" ht="12.75" customHeight="1">
      <c r="A7" s="83" t="s">
        <v>123</v>
      </c>
      <c r="B7" s="591" t="s">
        <v>262</v>
      </c>
      <c r="C7" s="591"/>
      <c r="D7" s="8" t="s">
        <v>139</v>
      </c>
      <c r="E7" s="296">
        <v>100000</v>
      </c>
    </row>
    <row r="8" spans="1:5" ht="12.75" customHeight="1">
      <c r="A8" s="83" t="s">
        <v>124</v>
      </c>
      <c r="B8" s="591" t="s">
        <v>253</v>
      </c>
      <c r="C8" s="591"/>
      <c r="D8" s="8" t="s">
        <v>139</v>
      </c>
      <c r="E8" s="296">
        <v>150000</v>
      </c>
    </row>
    <row r="9" spans="1:5" ht="12.75" customHeight="1">
      <c r="A9" s="83" t="s">
        <v>126</v>
      </c>
      <c r="B9" s="591" t="s">
        <v>254</v>
      </c>
      <c r="C9" s="591"/>
      <c r="D9" s="8" t="s">
        <v>139</v>
      </c>
      <c r="E9" s="296">
        <v>40000</v>
      </c>
    </row>
    <row r="10" spans="1:5" ht="12.75" customHeight="1">
      <c r="A10" s="83" t="s">
        <v>128</v>
      </c>
      <c r="B10" s="591" t="s">
        <v>255</v>
      </c>
      <c r="C10" s="591"/>
      <c r="D10" s="8" t="s">
        <v>139</v>
      </c>
      <c r="E10" s="291">
        <v>25000</v>
      </c>
    </row>
    <row r="11" spans="1:5" ht="12.75" customHeight="1">
      <c r="A11" s="83" t="s">
        <v>130</v>
      </c>
      <c r="B11" s="591" t="s">
        <v>256</v>
      </c>
      <c r="C11" s="591"/>
      <c r="D11" s="8" t="s">
        <v>139</v>
      </c>
      <c r="E11" s="291">
        <v>40000</v>
      </c>
    </row>
    <row r="12" spans="1:5" ht="12.75" customHeight="1">
      <c r="A12" s="83" t="s">
        <v>131</v>
      </c>
      <c r="B12" s="591" t="s">
        <v>283</v>
      </c>
      <c r="C12" s="591"/>
      <c r="D12" s="8" t="s">
        <v>139</v>
      </c>
      <c r="E12" s="291">
        <v>10000</v>
      </c>
    </row>
    <row r="13" spans="1:5" ht="12.75" customHeight="1">
      <c r="A13" s="83" t="s">
        <v>132</v>
      </c>
      <c r="B13" s="591" t="s">
        <v>257</v>
      </c>
      <c r="C13" s="591"/>
      <c r="D13" s="8" t="s">
        <v>139</v>
      </c>
      <c r="E13" s="291">
        <v>13000</v>
      </c>
    </row>
    <row r="14" spans="1:5" ht="12.75" customHeight="1">
      <c r="A14" s="83" t="s">
        <v>133</v>
      </c>
      <c r="B14" s="591" t="s">
        <v>258</v>
      </c>
      <c r="C14" s="591"/>
      <c r="D14" s="8" t="s">
        <v>139</v>
      </c>
      <c r="E14" s="291">
        <v>15000</v>
      </c>
    </row>
    <row r="15" spans="1:5" ht="12.75" customHeight="1">
      <c r="A15" s="83" t="s">
        <v>134</v>
      </c>
      <c r="B15" s="591" t="s">
        <v>259</v>
      </c>
      <c r="C15" s="591"/>
      <c r="D15" s="8" t="s">
        <v>139</v>
      </c>
      <c r="E15" s="291">
        <v>9000</v>
      </c>
    </row>
    <row r="16" spans="1:5" ht="12.75" customHeight="1">
      <c r="A16" s="83" t="s">
        <v>135</v>
      </c>
      <c r="B16" s="591" t="s">
        <v>260</v>
      </c>
      <c r="C16" s="591"/>
      <c r="D16" s="8" t="s">
        <v>139</v>
      </c>
      <c r="E16" s="291">
        <v>16000</v>
      </c>
    </row>
    <row r="17" spans="1:5" ht="12.75" customHeight="1">
      <c r="A17" s="83" t="s">
        <v>136</v>
      </c>
      <c r="B17" s="591" t="s">
        <v>261</v>
      </c>
      <c r="C17" s="591"/>
      <c r="D17" s="8" t="s">
        <v>139</v>
      </c>
      <c r="E17" s="291">
        <v>30000</v>
      </c>
    </row>
    <row r="18" spans="1:5" ht="12.75" customHeight="1">
      <c r="A18" s="185"/>
      <c r="B18" s="627" t="s">
        <v>56</v>
      </c>
      <c r="C18" s="590"/>
      <c r="D18" s="161"/>
      <c r="E18" s="292">
        <v>448000</v>
      </c>
    </row>
    <row r="19" spans="1:4" ht="12.75" customHeight="1">
      <c r="A19" s="90"/>
      <c r="B19" s="90"/>
      <c r="C19" s="90"/>
      <c r="D19" s="104"/>
    </row>
    <row r="20" spans="1:5" ht="12.75" customHeight="1">
      <c r="A20" s="627" t="s">
        <v>120</v>
      </c>
      <c r="B20" s="589"/>
      <c r="C20" s="589"/>
      <c r="D20" s="589"/>
      <c r="E20" s="590"/>
    </row>
    <row r="21" spans="1:5" ht="12.75" customHeight="1">
      <c r="A21" s="152" t="s">
        <v>44</v>
      </c>
      <c r="B21" s="593" t="s">
        <v>46</v>
      </c>
      <c r="C21" s="594"/>
      <c r="D21" s="595"/>
      <c r="E21" s="183" t="s">
        <v>457</v>
      </c>
    </row>
    <row r="22" spans="1:5" ht="12.75" customHeight="1">
      <c r="A22" s="83" t="s">
        <v>123</v>
      </c>
      <c r="B22" s="591" t="s">
        <v>262</v>
      </c>
      <c r="C22" s="591"/>
      <c r="D22" s="88" t="s">
        <v>138</v>
      </c>
      <c r="E22" s="290">
        <v>100000</v>
      </c>
    </row>
    <row r="23" spans="1:5" ht="12.75" customHeight="1">
      <c r="A23" s="83" t="s">
        <v>124</v>
      </c>
      <c r="B23" s="591" t="s">
        <v>253</v>
      </c>
      <c r="C23" s="591"/>
      <c r="D23" s="88" t="s">
        <v>138</v>
      </c>
      <c r="E23" s="290">
        <v>150000</v>
      </c>
    </row>
    <row r="24" spans="1:5" ht="12.75" customHeight="1">
      <c r="A24" s="83" t="s">
        <v>126</v>
      </c>
      <c r="B24" s="591" t="s">
        <v>254</v>
      </c>
      <c r="C24" s="591"/>
      <c r="D24" s="88" t="s">
        <v>138</v>
      </c>
      <c r="E24" s="290">
        <v>40000</v>
      </c>
    </row>
    <row r="25" spans="1:5" ht="12.75" customHeight="1">
      <c r="A25" s="83" t="s">
        <v>128</v>
      </c>
      <c r="B25" s="591" t="s">
        <v>255</v>
      </c>
      <c r="C25" s="591"/>
      <c r="D25" s="88" t="s">
        <v>138</v>
      </c>
      <c r="E25" s="290">
        <v>25000</v>
      </c>
    </row>
    <row r="26" spans="1:5" ht="12.75" customHeight="1">
      <c r="A26" s="83" t="s">
        <v>130</v>
      </c>
      <c r="B26" s="591" t="s">
        <v>256</v>
      </c>
      <c r="C26" s="591"/>
      <c r="D26" s="88" t="s">
        <v>138</v>
      </c>
      <c r="E26" s="290">
        <v>40000</v>
      </c>
    </row>
    <row r="27" spans="1:5" ht="12.75" customHeight="1">
      <c r="A27" s="83" t="s">
        <v>131</v>
      </c>
      <c r="B27" s="591" t="s">
        <v>283</v>
      </c>
      <c r="C27" s="591"/>
      <c r="D27" s="88" t="s">
        <v>138</v>
      </c>
      <c r="E27" s="290">
        <v>10000</v>
      </c>
    </row>
    <row r="28" spans="1:5" ht="12.75" customHeight="1">
      <c r="A28" s="83" t="s">
        <v>132</v>
      </c>
      <c r="B28" s="591" t="s">
        <v>257</v>
      </c>
      <c r="C28" s="591"/>
      <c r="D28" s="88" t="s">
        <v>138</v>
      </c>
      <c r="E28" s="290">
        <v>13000</v>
      </c>
    </row>
    <row r="29" spans="1:5" ht="12.75" customHeight="1">
      <c r="A29" s="83" t="s">
        <v>133</v>
      </c>
      <c r="B29" s="591" t="s">
        <v>258</v>
      </c>
      <c r="C29" s="591"/>
      <c r="D29" s="88" t="s">
        <v>138</v>
      </c>
      <c r="E29" s="290">
        <v>15000</v>
      </c>
    </row>
    <row r="30" spans="1:5" ht="12.75" customHeight="1">
      <c r="A30" s="83" t="s">
        <v>134</v>
      </c>
      <c r="B30" s="591" t="s">
        <v>259</v>
      </c>
      <c r="C30" s="591"/>
      <c r="D30" s="88" t="s">
        <v>138</v>
      </c>
      <c r="E30" s="290">
        <v>9000</v>
      </c>
    </row>
    <row r="31" spans="1:5" ht="12.75" customHeight="1">
      <c r="A31" s="83" t="s">
        <v>135</v>
      </c>
      <c r="B31" s="591" t="s">
        <v>260</v>
      </c>
      <c r="C31" s="591"/>
      <c r="D31" s="88" t="s">
        <v>138</v>
      </c>
      <c r="E31" s="290">
        <v>16000</v>
      </c>
    </row>
    <row r="32" spans="1:5" ht="12.75" customHeight="1">
      <c r="A32" s="422" t="s">
        <v>136</v>
      </c>
      <c r="B32" s="592" t="s">
        <v>261</v>
      </c>
      <c r="C32" s="592"/>
      <c r="D32" s="92" t="s">
        <v>138</v>
      </c>
      <c r="E32" s="423">
        <v>30000</v>
      </c>
    </row>
    <row r="33" spans="1:5" ht="12.75" customHeight="1">
      <c r="A33" s="160"/>
      <c r="B33" s="627" t="s">
        <v>56</v>
      </c>
      <c r="C33" s="590"/>
      <c r="D33" s="161"/>
      <c r="E33" s="292">
        <v>448000</v>
      </c>
    </row>
  </sheetData>
  <mergeCells count="30">
    <mergeCell ref="B22:C22"/>
    <mergeCell ref="B23:C23"/>
    <mergeCell ref="B28:C28"/>
    <mergeCell ref="B24:C24"/>
    <mergeCell ref="B25:C25"/>
    <mergeCell ref="B27:C27"/>
    <mergeCell ref="B26:C26"/>
    <mergeCell ref="B11:C11"/>
    <mergeCell ref="B12:C12"/>
    <mergeCell ref="B7:C7"/>
    <mergeCell ref="B8:C8"/>
    <mergeCell ref="B13:C13"/>
    <mergeCell ref="A1:E1"/>
    <mergeCell ref="B21:D21"/>
    <mergeCell ref="A5:E5"/>
    <mergeCell ref="A20:E20"/>
    <mergeCell ref="A3:E3"/>
    <mergeCell ref="B6:D6"/>
    <mergeCell ref="B18:C18"/>
    <mergeCell ref="B9:C9"/>
    <mergeCell ref="B10:C10"/>
    <mergeCell ref="B15:C15"/>
    <mergeCell ref="B16:C16"/>
    <mergeCell ref="B14:C14"/>
    <mergeCell ref="B17:C17"/>
    <mergeCell ref="B33:C33"/>
    <mergeCell ref="B29:C29"/>
    <mergeCell ref="B30:C30"/>
    <mergeCell ref="B31:C31"/>
    <mergeCell ref="B32:C32"/>
  </mergeCells>
  <printOptions/>
  <pageMargins left="0.75" right="0.75" top="0.3" bottom="0.24" header="0.25" footer="0.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showGridLines="0" view="pageBreakPreview" zoomScaleSheetLayoutView="100" workbookViewId="0" topLeftCell="A1">
      <selection activeCell="E8" sqref="E8:E9"/>
    </sheetView>
  </sheetViews>
  <sheetFormatPr defaultColWidth="9.00390625" defaultRowHeight="12.75" customHeight="1"/>
  <cols>
    <col min="1" max="1" width="4.75390625" style="86" customWidth="1"/>
    <col min="2" max="2" width="15.875" style="3" customWidth="1"/>
    <col min="3" max="3" width="26.875" style="3" customWidth="1"/>
    <col min="4" max="4" width="14.125" style="100" customWidth="1"/>
    <col min="5" max="5" width="14.875" style="100" customWidth="1"/>
    <col min="6" max="6" width="15.75390625" style="7" customWidth="1"/>
    <col min="7" max="7" width="9.125" style="7" customWidth="1"/>
    <col min="8" max="16384" width="9.125" style="1" customWidth="1"/>
  </cols>
  <sheetData>
    <row r="1" ht="12.75" customHeight="1">
      <c r="E1" s="86" t="s">
        <v>145</v>
      </c>
    </row>
    <row r="2" spans="1:5" ht="18" customHeight="1">
      <c r="A2" s="622" t="s">
        <v>282</v>
      </c>
      <c r="B2" s="622"/>
      <c r="C2" s="622"/>
      <c r="D2" s="622"/>
      <c r="E2" s="622"/>
    </row>
    <row r="3" spans="2:5" ht="13.5" customHeight="1">
      <c r="B3" s="2"/>
      <c r="C3" s="2"/>
      <c r="D3" s="102"/>
      <c r="E3" s="102"/>
    </row>
    <row r="4" spans="1:5" ht="12.75" customHeight="1">
      <c r="A4" s="627" t="s">
        <v>121</v>
      </c>
      <c r="B4" s="589"/>
      <c r="C4" s="589"/>
      <c r="D4" s="589"/>
      <c r="E4" s="590"/>
    </row>
    <row r="5" spans="1:5" ht="12.75" customHeight="1">
      <c r="A5" s="180" t="s">
        <v>44</v>
      </c>
      <c r="B5" s="181" t="s">
        <v>122</v>
      </c>
      <c r="C5" s="182"/>
      <c r="D5" s="183"/>
      <c r="E5" s="183" t="s">
        <v>457</v>
      </c>
    </row>
    <row r="6" spans="1:5" ht="12.75" customHeight="1">
      <c r="A6" s="588">
        <v>1</v>
      </c>
      <c r="B6" s="82" t="s">
        <v>125</v>
      </c>
      <c r="C6" s="175" t="s">
        <v>244</v>
      </c>
      <c r="D6" s="299">
        <v>329500</v>
      </c>
      <c r="E6" s="574">
        <v>1211500</v>
      </c>
    </row>
    <row r="7" spans="1:6" ht="12.75" customHeight="1">
      <c r="A7" s="573"/>
      <c r="B7" s="184"/>
      <c r="C7" s="176" t="s">
        <v>316</v>
      </c>
      <c r="D7" s="293">
        <v>882000</v>
      </c>
      <c r="E7" s="574"/>
      <c r="F7" s="193"/>
    </row>
    <row r="8" spans="1:5" ht="12.75" customHeight="1">
      <c r="A8" s="588">
        <v>2</v>
      </c>
      <c r="B8" s="82" t="s">
        <v>127</v>
      </c>
      <c r="C8" s="175" t="s">
        <v>244</v>
      </c>
      <c r="D8" s="299">
        <v>359000</v>
      </c>
      <c r="E8" s="574">
        <v>898000</v>
      </c>
    </row>
    <row r="9" spans="1:5" ht="12.75" customHeight="1">
      <c r="A9" s="573"/>
      <c r="B9" s="184"/>
      <c r="C9" s="176" t="s">
        <v>316</v>
      </c>
      <c r="D9" s="294">
        <v>539000</v>
      </c>
      <c r="E9" s="574"/>
    </row>
    <row r="10" spans="1:5" ht="12.75" customHeight="1">
      <c r="A10" s="585">
        <v>3</v>
      </c>
      <c r="B10" s="82" t="s">
        <v>302</v>
      </c>
      <c r="C10" s="175" t="s">
        <v>139</v>
      </c>
      <c r="D10" s="299">
        <v>1804800</v>
      </c>
      <c r="E10" s="574">
        <v>1878635</v>
      </c>
    </row>
    <row r="11" spans="1:5" ht="12.75" customHeight="1">
      <c r="A11" s="573"/>
      <c r="B11" s="184"/>
      <c r="C11" s="176" t="s">
        <v>315</v>
      </c>
      <c r="D11" s="294">
        <v>73835</v>
      </c>
      <c r="E11" s="574"/>
    </row>
    <row r="12" spans="1:5" ht="12.75" customHeight="1">
      <c r="A12" s="158"/>
      <c r="B12" s="177" t="s">
        <v>56</v>
      </c>
      <c r="C12" s="178"/>
      <c r="D12" s="179"/>
      <c r="E12" s="156">
        <v>3988135</v>
      </c>
    </row>
    <row r="14" spans="1:5" ht="12.75" customHeight="1">
      <c r="A14" s="627" t="s">
        <v>120</v>
      </c>
      <c r="B14" s="589"/>
      <c r="C14" s="589"/>
      <c r="D14" s="589"/>
      <c r="E14" s="590"/>
    </row>
    <row r="15" spans="1:5" ht="12.75" customHeight="1">
      <c r="A15" s="157" t="s">
        <v>44</v>
      </c>
      <c r="B15" s="181" t="s">
        <v>46</v>
      </c>
      <c r="C15" s="182"/>
      <c r="D15" s="186"/>
      <c r="E15" s="183" t="s">
        <v>457</v>
      </c>
    </row>
    <row r="16" spans="1:5" ht="12.75" customHeight="1">
      <c r="A16" s="584">
        <v>1</v>
      </c>
      <c r="B16" s="82" t="s">
        <v>125</v>
      </c>
      <c r="C16" s="175" t="s">
        <v>245</v>
      </c>
      <c r="D16" s="299">
        <v>1211500</v>
      </c>
      <c r="E16" s="586">
        <v>1211500</v>
      </c>
    </row>
    <row r="17" spans="1:5" ht="12.75" customHeight="1">
      <c r="A17" s="585"/>
      <c r="B17" s="187"/>
      <c r="C17" s="62" t="s">
        <v>246</v>
      </c>
      <c r="D17" s="295">
        <v>831500</v>
      </c>
      <c r="E17" s="587"/>
    </row>
    <row r="18" spans="1:5" ht="12.75" customHeight="1">
      <c r="A18" s="585"/>
      <c r="B18" s="188"/>
      <c r="C18" s="176" t="s">
        <v>247</v>
      </c>
      <c r="D18" s="294">
        <v>380000</v>
      </c>
      <c r="E18" s="587"/>
    </row>
    <row r="19" spans="1:5" ht="12.75" customHeight="1">
      <c r="A19" s="584">
        <v>2</v>
      </c>
      <c r="B19" s="82" t="s">
        <v>127</v>
      </c>
      <c r="C19" s="175" t="s">
        <v>248</v>
      </c>
      <c r="D19" s="299">
        <v>898000</v>
      </c>
      <c r="E19" s="586">
        <v>898000</v>
      </c>
    </row>
    <row r="20" spans="1:5" ht="12.75" customHeight="1">
      <c r="A20" s="585"/>
      <c r="B20" s="187"/>
      <c r="C20" s="62" t="s">
        <v>249</v>
      </c>
      <c r="D20" s="295">
        <v>541500</v>
      </c>
      <c r="E20" s="587"/>
    </row>
    <row r="21" spans="1:5" ht="12.75" customHeight="1">
      <c r="A21" s="585"/>
      <c r="B21" s="188"/>
      <c r="C21" s="176" t="s">
        <v>250</v>
      </c>
      <c r="D21" s="294">
        <v>356500</v>
      </c>
      <c r="E21" s="587"/>
    </row>
    <row r="22" spans="1:5" ht="12.75" customHeight="1">
      <c r="A22" s="584">
        <v>3</v>
      </c>
      <c r="B22" s="82" t="s">
        <v>302</v>
      </c>
      <c r="C22" s="175" t="s">
        <v>248</v>
      </c>
      <c r="D22" s="299">
        <v>1878635</v>
      </c>
      <c r="E22" s="586">
        <v>1878635</v>
      </c>
    </row>
    <row r="23" spans="1:5" ht="12.75" customHeight="1">
      <c r="A23" s="585"/>
      <c r="B23" s="187"/>
      <c r="C23" s="62" t="s">
        <v>251</v>
      </c>
      <c r="D23" s="295">
        <v>522000</v>
      </c>
      <c r="E23" s="587"/>
    </row>
    <row r="24" spans="1:5" ht="12.75" customHeight="1">
      <c r="A24" s="585"/>
      <c r="B24" s="188"/>
      <c r="C24" s="176" t="s">
        <v>252</v>
      </c>
      <c r="D24" s="294">
        <v>1356635</v>
      </c>
      <c r="E24" s="575"/>
    </row>
    <row r="25" spans="1:5" ht="12.75" customHeight="1">
      <c r="A25" s="159"/>
      <c r="B25" s="177" t="s">
        <v>56</v>
      </c>
      <c r="C25" s="178"/>
      <c r="D25" s="179"/>
      <c r="E25" s="156">
        <v>3988135</v>
      </c>
    </row>
  </sheetData>
  <mergeCells count="15">
    <mergeCell ref="A22:A24"/>
    <mergeCell ref="A2:E2"/>
    <mergeCell ref="A4:E4"/>
    <mergeCell ref="A6:A7"/>
    <mergeCell ref="E6:E7"/>
    <mergeCell ref="E22:E24"/>
    <mergeCell ref="E8:E9"/>
    <mergeCell ref="A10:A11"/>
    <mergeCell ref="E10:E11"/>
    <mergeCell ref="A14:E14"/>
    <mergeCell ref="A16:A18"/>
    <mergeCell ref="E16:E18"/>
    <mergeCell ref="A19:A21"/>
    <mergeCell ref="A8:A9"/>
    <mergeCell ref="E19:E21"/>
  </mergeCells>
  <printOptions/>
  <pageMargins left="0.75" right="0.75" top="0.3" bottom="0.24" header="0.25" footer="0.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5.00390625" style="7" customWidth="1"/>
    <col min="2" max="2" width="6.75390625" style="7" customWidth="1"/>
    <col min="3" max="3" width="53.375" style="66" customWidth="1"/>
    <col min="4" max="4" width="14.125" style="105" customWidth="1"/>
    <col min="5" max="5" width="6.625" style="7" customWidth="1"/>
    <col min="6" max="6" width="12.25390625" style="7" bestFit="1" customWidth="1"/>
    <col min="7" max="7" width="9.125" style="7" customWidth="1"/>
    <col min="8" max="16384" width="9.125" style="1" customWidth="1"/>
  </cols>
  <sheetData>
    <row r="1" spans="1:5" ht="14.25">
      <c r="A1" s="598" t="s">
        <v>147</v>
      </c>
      <c r="B1" s="598"/>
      <c r="C1" s="598"/>
      <c r="D1" s="598"/>
      <c r="E1" s="86"/>
    </row>
    <row r="2" spans="1:4" ht="15.75">
      <c r="A2" s="622"/>
      <c r="B2" s="622"/>
      <c r="C2" s="622"/>
      <c r="D2" s="622"/>
    </row>
    <row r="3" spans="1:4" ht="15.75">
      <c r="A3" s="599" t="s">
        <v>293</v>
      </c>
      <c r="B3" s="599"/>
      <c r="C3" s="599"/>
      <c r="D3" s="599"/>
    </row>
    <row r="4" spans="1:4" ht="15.75">
      <c r="A4" s="599" t="s">
        <v>294</v>
      </c>
      <c r="B4" s="599"/>
      <c r="C4" s="599"/>
      <c r="D4" s="599"/>
    </row>
    <row r="6" spans="2:4" ht="14.25">
      <c r="B6" s="163" t="s">
        <v>44</v>
      </c>
      <c r="C6" s="163" t="s">
        <v>110</v>
      </c>
      <c r="D6" s="163" t="s">
        <v>457</v>
      </c>
    </row>
    <row r="7" spans="2:4" ht="14.25">
      <c r="B7" s="164" t="s">
        <v>286</v>
      </c>
      <c r="C7" s="165" t="s">
        <v>287</v>
      </c>
      <c r="D7" s="126">
        <v>99580.05</v>
      </c>
    </row>
    <row r="8" spans="2:4" ht="14.25">
      <c r="B8" s="164" t="s">
        <v>288</v>
      </c>
      <c r="C8" s="165" t="s">
        <v>129</v>
      </c>
      <c r="D8" s="126">
        <v>20000</v>
      </c>
    </row>
    <row r="9" spans="2:4" ht="14.25">
      <c r="B9" s="166" t="s">
        <v>123</v>
      </c>
      <c r="C9" s="167" t="s">
        <v>292</v>
      </c>
      <c r="D9" s="168">
        <v>20000</v>
      </c>
    </row>
    <row r="10" spans="2:4" ht="14.25">
      <c r="B10" s="164" t="s">
        <v>289</v>
      </c>
      <c r="C10" s="165" t="s">
        <v>120</v>
      </c>
      <c r="D10" s="126">
        <v>80550</v>
      </c>
    </row>
    <row r="11" spans="2:4" ht="14.25">
      <c r="B11" s="172" t="s">
        <v>123</v>
      </c>
      <c r="C11" s="173" t="s">
        <v>63</v>
      </c>
      <c r="D11" s="174">
        <v>550</v>
      </c>
    </row>
    <row r="12" spans="2:4" ht="14.25">
      <c r="B12" s="166"/>
      <c r="C12" s="121" t="s">
        <v>378</v>
      </c>
      <c r="D12" s="297">
        <v>550</v>
      </c>
    </row>
    <row r="13" spans="2:4" ht="14.25">
      <c r="B13" s="169" t="s">
        <v>124</v>
      </c>
      <c r="C13" s="170" t="s">
        <v>94</v>
      </c>
      <c r="D13" s="171">
        <v>80000</v>
      </c>
    </row>
    <row r="14" spans="2:4" ht="14.25">
      <c r="B14" s="169"/>
      <c r="C14" s="206" t="s">
        <v>377</v>
      </c>
      <c r="D14" s="298">
        <v>80000</v>
      </c>
    </row>
    <row r="15" spans="2:4" ht="14.25">
      <c r="B15" s="164" t="s">
        <v>290</v>
      </c>
      <c r="C15" s="165" t="s">
        <v>291</v>
      </c>
      <c r="D15" s="126">
        <v>39030.05</v>
      </c>
    </row>
    <row r="20" spans="2:4" ht="14.25">
      <c r="B20" s="1"/>
      <c r="C20" s="1"/>
      <c r="D20" s="1"/>
    </row>
    <row r="21" spans="2:4" ht="14.25">
      <c r="B21" s="1"/>
      <c r="C21" s="1"/>
      <c r="D21" s="1"/>
    </row>
    <row r="22" spans="2:4" ht="14.25">
      <c r="B22" s="1"/>
      <c r="C22" s="1"/>
      <c r="D22" s="1"/>
    </row>
    <row r="23" spans="2:4" ht="14.25">
      <c r="B23" s="1"/>
      <c r="C23" s="1"/>
      <c r="D23" s="1"/>
    </row>
    <row r="24" spans="2:4" ht="14.25">
      <c r="B24" s="1"/>
      <c r="C24" s="1"/>
      <c r="D24" s="1"/>
    </row>
  </sheetData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UM Ustrzyki Dolne</cp:lastModifiedBy>
  <cp:lastPrinted>2009-12-18T18:09:36Z</cp:lastPrinted>
  <dcterms:created xsi:type="dcterms:W3CDTF">2002-11-03T06:23:27Z</dcterms:created>
  <dcterms:modified xsi:type="dcterms:W3CDTF">2010-01-08T08:50:43Z</dcterms:modified>
  <cp:category/>
  <cp:version/>
  <cp:contentType/>
  <cp:contentStatus/>
</cp:coreProperties>
</file>